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85" yWindow="-210" windowWidth="13005" windowHeight="7755" tabRatio="915"/>
  </bookViews>
  <sheets>
    <sheet name="Sit. inicial" sheetId="22" r:id="rId1"/>
    <sheet name="Evolução reb" sheetId="18" r:id="rId2"/>
    <sheet name="Sit chegada" sheetId="2" r:id="rId3"/>
    <sheet name="A1" sheetId="10" r:id="rId4"/>
    <sheet name="A2" sheetId="11" r:id="rId5"/>
    <sheet name="A3" sheetId="12" r:id="rId6"/>
    <sheet name="A4" sheetId="13" r:id="rId7"/>
    <sheet name="A5" sheetId="14" r:id="rId8"/>
    <sheet name="A6" sheetId="15" r:id="rId9"/>
    <sheet name="A7" sheetId="16" r:id="rId10"/>
    <sheet name="A8" sheetId="17" r:id="rId11"/>
    <sheet name="A9" sheetId="19" r:id="rId12"/>
    <sheet name="A10" sheetId="20" r:id="rId13"/>
    <sheet name="Proj. Indiv." sheetId="9" r:id="rId14"/>
    <sheet name="VA Direto" sheetId="21" r:id="rId15"/>
    <sheet name="D.R. inicial" sheetId="23" r:id="rId16"/>
    <sheet name="D.R. Final" sheetId="24" r:id="rId17"/>
    <sheet name="Efeitos" sheetId="25" r:id="rId18"/>
  </sheets>
  <definedNames>
    <definedName name="solver_adj" localSheetId="16" hidden="1">'D.R. Final'!$B$3</definedName>
    <definedName name="solver_adj" localSheetId="17" hidden="1">Efeitos!$E$5</definedName>
    <definedName name="solver_cvg" localSheetId="16" hidden="1">0.0001</definedName>
    <definedName name="solver_cvg" localSheetId="17" hidden="1">0.0001</definedName>
    <definedName name="solver_drv" localSheetId="16" hidden="1">2</definedName>
    <definedName name="solver_drv" localSheetId="17" hidden="1">2</definedName>
    <definedName name="solver_eng" localSheetId="16" hidden="1">1</definedName>
    <definedName name="solver_eng" localSheetId="17" hidden="1">1</definedName>
    <definedName name="solver_est" localSheetId="16" hidden="1">1</definedName>
    <definedName name="solver_est" localSheetId="17" hidden="1">1</definedName>
    <definedName name="solver_itr" localSheetId="16" hidden="1">2147483647</definedName>
    <definedName name="solver_itr" localSheetId="17" hidden="1">2147483647</definedName>
    <definedName name="solver_mip" localSheetId="16" hidden="1">2147483647</definedName>
    <definedName name="solver_mip" localSheetId="17" hidden="1">2147483647</definedName>
    <definedName name="solver_mni" localSheetId="16" hidden="1">30</definedName>
    <definedName name="solver_mni" localSheetId="17" hidden="1">30</definedName>
    <definedName name="solver_mrt" localSheetId="16" hidden="1">0.075</definedName>
    <definedName name="solver_mrt" localSheetId="17" hidden="1">0.075</definedName>
    <definedName name="solver_msl" localSheetId="16" hidden="1">2</definedName>
    <definedName name="solver_msl" localSheetId="17" hidden="1">2</definedName>
    <definedName name="solver_neg" localSheetId="16" hidden="1">1</definedName>
    <definedName name="solver_neg" localSheetId="17" hidden="1">1</definedName>
    <definedName name="solver_nod" localSheetId="16" hidden="1">2147483647</definedName>
    <definedName name="solver_nod" localSheetId="17" hidden="1">2147483647</definedName>
    <definedName name="solver_num" localSheetId="16" hidden="1">0</definedName>
    <definedName name="solver_num" localSheetId="17" hidden="1">0</definedName>
    <definedName name="solver_nwt" localSheetId="16" hidden="1">1</definedName>
    <definedName name="solver_nwt" localSheetId="17" hidden="1">1</definedName>
    <definedName name="solver_opt" localSheetId="16" hidden="1">'D.R. Final'!$D$18</definedName>
    <definedName name="solver_opt" localSheetId="17" hidden="1">Efeitos!$E$30</definedName>
    <definedName name="solver_pre" localSheetId="16" hidden="1">0.000001</definedName>
    <definedName name="solver_pre" localSheetId="17" hidden="1">0.000001</definedName>
    <definedName name="solver_rbv" localSheetId="16" hidden="1">2</definedName>
    <definedName name="solver_rbv" localSheetId="17" hidden="1">2</definedName>
    <definedName name="solver_rlx" localSheetId="16" hidden="1">2</definedName>
    <definedName name="solver_rlx" localSheetId="17" hidden="1">2</definedName>
    <definedName name="solver_rsd" localSheetId="16" hidden="1">0</definedName>
    <definedName name="solver_rsd" localSheetId="17" hidden="1">0</definedName>
    <definedName name="solver_scl" localSheetId="16" hidden="1">2</definedName>
    <definedName name="solver_scl" localSheetId="17" hidden="1">2</definedName>
    <definedName name="solver_sho" localSheetId="16" hidden="1">2</definedName>
    <definedName name="solver_sho" localSheetId="17" hidden="1">2</definedName>
    <definedName name="solver_ssz" localSheetId="16" hidden="1">100</definedName>
    <definedName name="solver_ssz" localSheetId="17" hidden="1">100</definedName>
    <definedName name="solver_tim" localSheetId="16" hidden="1">2147483647</definedName>
    <definedName name="solver_tim" localSheetId="17" hidden="1">2147483647</definedName>
    <definedName name="solver_tol" localSheetId="16" hidden="1">0.01</definedName>
    <definedName name="solver_tol" localSheetId="17" hidden="1">0.01</definedName>
    <definedName name="solver_typ" localSheetId="16" hidden="1">3</definedName>
    <definedName name="solver_typ" localSheetId="17" hidden="1">3</definedName>
    <definedName name="solver_val" localSheetId="16" hidden="1">0</definedName>
    <definedName name="solver_val" localSheetId="17" hidden="1">0</definedName>
    <definedName name="solver_ver" localSheetId="16" hidden="1">3</definedName>
    <definedName name="solver_ver" localSheetId="17" hidden="1">3</definedName>
  </definedNames>
  <calcPr calcId="145621"/>
</workbook>
</file>

<file path=xl/calcChain.xml><?xml version="1.0" encoding="utf-8"?>
<calcChain xmlns="http://schemas.openxmlformats.org/spreadsheetml/2006/main">
  <c r="C16" i="21" l="1"/>
  <c r="C22" i="2"/>
  <c r="C19" i="2"/>
  <c r="N18" i="9" l="1"/>
  <c r="N19" i="9"/>
  <c r="N20" i="9"/>
  <c r="N21" i="9"/>
  <c r="N22" i="9"/>
  <c r="N23" i="9"/>
  <c r="N24" i="9"/>
  <c r="N25" i="9"/>
  <c r="N26" i="9"/>
  <c r="N17" i="9"/>
  <c r="B17" i="9"/>
  <c r="F61" i="20"/>
  <c r="F60" i="20"/>
  <c r="F62" i="20" s="1"/>
  <c r="F61" i="19"/>
  <c r="F60" i="19"/>
  <c r="F62" i="19" s="1"/>
  <c r="F60" i="17"/>
  <c r="F60" i="12"/>
  <c r="F60" i="11"/>
  <c r="F60" i="10"/>
  <c r="E58" i="10"/>
  <c r="F61" i="10" s="1"/>
  <c r="E58" i="11"/>
  <c r="F61" i="11" s="1"/>
  <c r="E58" i="12"/>
  <c r="F61" i="12" s="1"/>
  <c r="E58" i="13"/>
  <c r="F60" i="13" s="1"/>
  <c r="E58" i="14"/>
  <c r="F60" i="14" s="1"/>
  <c r="E58" i="15"/>
  <c r="F60" i="15" s="1"/>
  <c r="E58" i="16"/>
  <c r="F60" i="16" s="1"/>
  <c r="E58" i="17"/>
  <c r="F61" i="17" s="1"/>
  <c r="E58" i="19"/>
  <c r="E58" i="20"/>
  <c r="F61" i="2"/>
  <c r="C36" i="10"/>
  <c r="F36" i="10" s="1"/>
  <c r="C35" i="10"/>
  <c r="F35" i="10" s="1"/>
  <c r="C34" i="10"/>
  <c r="F34" i="10" s="1"/>
  <c r="C33" i="10"/>
  <c r="F33" i="10" s="1"/>
  <c r="C32" i="10"/>
  <c r="F32" i="10" s="1"/>
  <c r="E31" i="10"/>
  <c r="C31" i="10"/>
  <c r="F31" i="10" s="1"/>
  <c r="E30" i="10"/>
  <c r="C30" i="10"/>
  <c r="F30" i="10" s="1"/>
  <c r="C29" i="10"/>
  <c r="F29" i="10" s="1"/>
  <c r="C36" i="11"/>
  <c r="F36" i="11" s="1"/>
  <c r="C35" i="11"/>
  <c r="F35" i="11" s="1"/>
  <c r="C34" i="11"/>
  <c r="F34" i="11" s="1"/>
  <c r="C33" i="11"/>
  <c r="F33" i="11" s="1"/>
  <c r="C32" i="11"/>
  <c r="F32" i="11" s="1"/>
  <c r="E31" i="11"/>
  <c r="C31" i="11"/>
  <c r="F31" i="11" s="1"/>
  <c r="E30" i="11"/>
  <c r="C30" i="11"/>
  <c r="F30" i="11" s="1"/>
  <c r="C29" i="11"/>
  <c r="F29" i="11" s="1"/>
  <c r="C36" i="12"/>
  <c r="F36" i="12" s="1"/>
  <c r="C35" i="12"/>
  <c r="F35" i="12" s="1"/>
  <c r="C34" i="12"/>
  <c r="F34" i="12" s="1"/>
  <c r="C33" i="12"/>
  <c r="F33" i="12" s="1"/>
  <c r="C32" i="12"/>
  <c r="F32" i="12" s="1"/>
  <c r="E31" i="12"/>
  <c r="C31" i="12"/>
  <c r="F31" i="12" s="1"/>
  <c r="F30" i="12"/>
  <c r="E30" i="12"/>
  <c r="C30" i="12"/>
  <c r="C29" i="12"/>
  <c r="F29" i="12" s="1"/>
  <c r="F36" i="13"/>
  <c r="C36" i="13"/>
  <c r="F35" i="13"/>
  <c r="C35" i="13"/>
  <c r="F34" i="13"/>
  <c r="C34" i="13"/>
  <c r="F33" i="13"/>
  <c r="C33" i="13"/>
  <c r="F32" i="13"/>
  <c r="C32" i="13"/>
  <c r="E31" i="13"/>
  <c r="C31" i="13"/>
  <c r="F31" i="13" s="1"/>
  <c r="E30" i="13"/>
  <c r="C30" i="13"/>
  <c r="F30" i="13" s="1"/>
  <c r="F29" i="13"/>
  <c r="C29" i="13"/>
  <c r="C36" i="14"/>
  <c r="F36" i="14" s="1"/>
  <c r="C35" i="14"/>
  <c r="F35" i="14" s="1"/>
  <c r="C34" i="14"/>
  <c r="F34" i="14" s="1"/>
  <c r="C33" i="14"/>
  <c r="F33" i="14" s="1"/>
  <c r="C32" i="14"/>
  <c r="F32" i="14" s="1"/>
  <c r="E31" i="14"/>
  <c r="C31" i="14"/>
  <c r="F31" i="14" s="1"/>
  <c r="E30" i="14"/>
  <c r="C30" i="14"/>
  <c r="F30" i="14" s="1"/>
  <c r="C29" i="14"/>
  <c r="F29" i="14" s="1"/>
  <c r="C36" i="15"/>
  <c r="F36" i="15" s="1"/>
  <c r="C35" i="15"/>
  <c r="F35" i="15" s="1"/>
  <c r="C34" i="15"/>
  <c r="F34" i="15" s="1"/>
  <c r="C33" i="15"/>
  <c r="F33" i="15" s="1"/>
  <c r="C32" i="15"/>
  <c r="F32" i="15" s="1"/>
  <c r="E31" i="15"/>
  <c r="C31" i="15"/>
  <c r="F31" i="15" s="1"/>
  <c r="E30" i="15"/>
  <c r="C30" i="15"/>
  <c r="F30" i="15" s="1"/>
  <c r="C29" i="15"/>
  <c r="F29" i="15" s="1"/>
  <c r="C36" i="16"/>
  <c r="F36" i="16" s="1"/>
  <c r="C35" i="16"/>
  <c r="F35" i="16" s="1"/>
  <c r="C34" i="16"/>
  <c r="F34" i="16" s="1"/>
  <c r="C33" i="16"/>
  <c r="F33" i="16" s="1"/>
  <c r="C32" i="16"/>
  <c r="F32" i="16" s="1"/>
  <c r="E31" i="16"/>
  <c r="C31" i="16"/>
  <c r="F31" i="16" s="1"/>
  <c r="E30" i="16"/>
  <c r="C30" i="16"/>
  <c r="F30" i="16" s="1"/>
  <c r="C29" i="16"/>
  <c r="F29" i="16" s="1"/>
  <c r="C36" i="17"/>
  <c r="F36" i="17" s="1"/>
  <c r="C35" i="17"/>
  <c r="F35" i="17" s="1"/>
  <c r="C34" i="17"/>
  <c r="F34" i="17" s="1"/>
  <c r="C33" i="17"/>
  <c r="F33" i="17" s="1"/>
  <c r="C32" i="17"/>
  <c r="F32" i="17" s="1"/>
  <c r="E31" i="17"/>
  <c r="C31" i="17"/>
  <c r="F31" i="17" s="1"/>
  <c r="E30" i="17"/>
  <c r="C30" i="17"/>
  <c r="F30" i="17" s="1"/>
  <c r="C29" i="17"/>
  <c r="F29" i="17" s="1"/>
  <c r="C36" i="19"/>
  <c r="F36" i="19" s="1"/>
  <c r="C35" i="19"/>
  <c r="F35" i="19" s="1"/>
  <c r="C34" i="19"/>
  <c r="F34" i="19" s="1"/>
  <c r="C33" i="19"/>
  <c r="F33" i="19" s="1"/>
  <c r="C32" i="19"/>
  <c r="F32" i="19" s="1"/>
  <c r="E31" i="19"/>
  <c r="C31" i="19"/>
  <c r="F31" i="19" s="1"/>
  <c r="E30" i="19"/>
  <c r="C30" i="19"/>
  <c r="F30" i="19" s="1"/>
  <c r="C29" i="19"/>
  <c r="F29" i="19" s="1"/>
  <c r="C36" i="20"/>
  <c r="F36" i="20" s="1"/>
  <c r="C35" i="20"/>
  <c r="F35" i="20" s="1"/>
  <c r="C34" i="20"/>
  <c r="F34" i="20" s="1"/>
  <c r="C33" i="20"/>
  <c r="F33" i="20" s="1"/>
  <c r="C32" i="20"/>
  <c r="F32" i="20" s="1"/>
  <c r="E31" i="20"/>
  <c r="C31" i="20"/>
  <c r="F31" i="20" s="1"/>
  <c r="E30" i="20"/>
  <c r="C30" i="20"/>
  <c r="F30" i="20" s="1"/>
  <c r="C29" i="20"/>
  <c r="F29" i="20" s="1"/>
  <c r="C34" i="2"/>
  <c r="I21" i="2"/>
  <c r="E10" i="9"/>
  <c r="D10" i="20"/>
  <c r="D10" i="19"/>
  <c r="D10" i="17"/>
  <c r="D10" i="16"/>
  <c r="D10" i="15"/>
  <c r="D10" i="14"/>
  <c r="D10" i="13"/>
  <c r="D10" i="12"/>
  <c r="D10" i="11"/>
  <c r="D10" i="10"/>
  <c r="F62" i="17" l="1"/>
  <c r="F62" i="16"/>
  <c r="F61" i="16"/>
  <c r="F61" i="15"/>
  <c r="F62" i="15" s="1"/>
  <c r="F61" i="14"/>
  <c r="F62" i="14" s="1"/>
  <c r="F61" i="13"/>
  <c r="F62" i="13" s="1"/>
  <c r="F62" i="12"/>
  <c r="F62" i="11"/>
  <c r="F62" i="10"/>
  <c r="K7" i="2"/>
  <c r="D19" i="10"/>
  <c r="D19" i="19" s="1"/>
  <c r="D19" i="11" l="1"/>
  <c r="D19" i="13"/>
  <c r="D19" i="15"/>
  <c r="D19" i="17"/>
  <c r="D19" i="20"/>
  <c r="D19" i="12"/>
  <c r="D19" i="14"/>
  <c r="D19" i="16"/>
  <c r="E58" i="2"/>
  <c r="B34" i="22"/>
  <c r="H5" i="22"/>
  <c r="B11" i="24"/>
  <c r="B31" i="18"/>
  <c r="B30" i="18"/>
  <c r="B29" i="18"/>
  <c r="H6" i="22" l="1"/>
  <c r="C17" i="24"/>
  <c r="D11" i="25"/>
  <c r="C17" i="23" l="1"/>
  <c r="E28" i="25"/>
  <c r="F28" i="25" s="1"/>
  <c r="E25" i="25"/>
  <c r="F25" i="25" s="1"/>
  <c r="E24" i="25"/>
  <c r="F24" i="25" s="1"/>
  <c r="E23" i="25"/>
  <c r="F23" i="25" s="1"/>
  <c r="E22" i="25"/>
  <c r="E29" i="25" s="1"/>
  <c r="D22" i="25"/>
  <c r="D29" i="25" s="1"/>
  <c r="E14" i="25"/>
  <c r="F14" i="25" s="1"/>
  <c r="D14" i="25"/>
  <c r="E12" i="25"/>
  <c r="F12" i="25" s="1"/>
  <c r="E8" i="25"/>
  <c r="D8" i="25"/>
  <c r="E7" i="25"/>
  <c r="D7" i="25"/>
  <c r="D19" i="25" s="1"/>
  <c r="E6" i="25"/>
  <c r="F5" i="25"/>
  <c r="I5" i="25" s="1"/>
  <c r="A7" i="24"/>
  <c r="A8" i="24" s="1"/>
  <c r="C6" i="24"/>
  <c r="B10" i="23"/>
  <c r="A7" i="23"/>
  <c r="A8" i="23" s="1"/>
  <c r="C6" i="23"/>
  <c r="G20" i="21"/>
  <c r="G10" i="21"/>
  <c r="B8" i="21"/>
  <c r="F10" i="21" s="1"/>
  <c r="L10" i="18"/>
  <c r="B35" i="18"/>
  <c r="L11" i="18" s="1"/>
  <c r="B37" i="18"/>
  <c r="C37" i="18" s="1"/>
  <c r="E35" i="22"/>
  <c r="E34" i="22"/>
  <c r="F33" i="22"/>
  <c r="B33" i="22" s="1"/>
  <c r="E33" i="22" s="1"/>
  <c r="E32" i="22"/>
  <c r="B11" i="22"/>
  <c r="H7" i="22"/>
  <c r="H8" i="22" s="1"/>
  <c r="J10" i="21"/>
  <c r="H9" i="22" l="1"/>
  <c r="B15" i="22" s="1"/>
  <c r="D15" i="22" s="1"/>
  <c r="F15" i="22" s="1"/>
  <c r="H10" i="22"/>
  <c r="B38" i="18"/>
  <c r="B36" i="18"/>
  <c r="L12" i="18" s="1"/>
  <c r="C38" i="18"/>
  <c r="C36" i="18"/>
  <c r="C35" i="18"/>
  <c r="E36" i="22"/>
  <c r="B6" i="22" s="1"/>
  <c r="C34" i="18"/>
  <c r="D20" i="25"/>
  <c r="F29" i="25"/>
  <c r="E20" i="25"/>
  <c r="F20" i="25" s="1"/>
  <c r="F7" i="25"/>
  <c r="D10" i="25"/>
  <c r="F6" i="25"/>
  <c r="F8" i="25"/>
  <c r="E19" i="25"/>
  <c r="F19" i="25" s="1"/>
  <c r="F22" i="25"/>
  <c r="A9" i="24"/>
  <c r="C8" i="24"/>
  <c r="C7" i="24"/>
  <c r="A9" i="23"/>
  <c r="C8" i="23"/>
  <c r="B16" i="23"/>
  <c r="C7" i="23"/>
  <c r="H10" i="21"/>
  <c r="K10" i="21" s="1"/>
  <c r="B16" i="22"/>
  <c r="D16" i="22" s="1"/>
  <c r="F16" i="22" s="1"/>
  <c r="D10" i="2"/>
  <c r="C36" i="2" s="1"/>
  <c r="C35" i="2"/>
  <c r="F32" i="2"/>
  <c r="F33" i="2"/>
  <c r="C32" i="2"/>
  <c r="C33" i="2"/>
  <c r="L13" i="18" l="1"/>
  <c r="B39" i="18"/>
  <c r="F18" i="22"/>
  <c r="B3" i="22" s="1"/>
  <c r="D13" i="25"/>
  <c r="A10" i="24"/>
  <c r="C9" i="24"/>
  <c r="D15" i="23"/>
  <c r="D13" i="23"/>
  <c r="D11" i="23"/>
  <c r="D8" i="23"/>
  <c r="D6" i="23"/>
  <c r="D14" i="23"/>
  <c r="D12" i="23"/>
  <c r="D9" i="23"/>
  <c r="D7" i="23"/>
  <c r="A10" i="23"/>
  <c r="C9" i="23"/>
  <c r="D10" i="23"/>
  <c r="G21" i="21"/>
  <c r="C25" i="22"/>
  <c r="E25" i="22" s="1"/>
  <c r="E27" i="22" s="1"/>
  <c r="B4" i="22" s="1"/>
  <c r="H11" i="22"/>
  <c r="B5" i="22"/>
  <c r="B7" i="22" s="1"/>
  <c r="B6" i="21" s="1"/>
  <c r="B7" i="21" s="1"/>
  <c r="C75" i="20"/>
  <c r="D74" i="20"/>
  <c r="F74" i="20" s="1"/>
  <c r="D73" i="20"/>
  <c r="F73" i="20" s="1"/>
  <c r="D72" i="20"/>
  <c r="F72" i="20" s="1"/>
  <c r="D71" i="20"/>
  <c r="F71" i="20" s="1"/>
  <c r="D70" i="20"/>
  <c r="F70" i="20" s="1"/>
  <c r="D69" i="20"/>
  <c r="F69" i="20" s="1"/>
  <c r="F75" i="20" s="1"/>
  <c r="C88" i="20" s="1"/>
  <c r="I6" i="20" s="1"/>
  <c r="C64" i="20"/>
  <c r="E27" i="20"/>
  <c r="G19" i="20"/>
  <c r="F14" i="20"/>
  <c r="E13" i="20"/>
  <c r="F11" i="20"/>
  <c r="G11" i="20" s="1"/>
  <c r="D11" i="20"/>
  <c r="H8" i="20"/>
  <c r="H7" i="20"/>
  <c r="H6" i="20"/>
  <c r="J5" i="20"/>
  <c r="H5" i="20"/>
  <c r="J4" i="20"/>
  <c r="H4" i="20"/>
  <c r="J3" i="20"/>
  <c r="H3" i="20"/>
  <c r="H2" i="20"/>
  <c r="C75" i="19"/>
  <c r="D74" i="19"/>
  <c r="F74" i="19" s="1"/>
  <c r="D73" i="19"/>
  <c r="F73" i="19" s="1"/>
  <c r="D72" i="19"/>
  <c r="F72" i="19" s="1"/>
  <c r="D71" i="19"/>
  <c r="F71" i="19" s="1"/>
  <c r="D70" i="19"/>
  <c r="F70" i="19" s="1"/>
  <c r="D69" i="19"/>
  <c r="F69" i="19" s="1"/>
  <c r="C64" i="19"/>
  <c r="E27" i="19"/>
  <c r="G19" i="19"/>
  <c r="F14" i="19"/>
  <c r="E13" i="19"/>
  <c r="F11" i="19"/>
  <c r="G11" i="19" s="1"/>
  <c r="D11" i="19"/>
  <c r="H8" i="19"/>
  <c r="H7" i="19"/>
  <c r="H6" i="19"/>
  <c r="J5" i="19"/>
  <c r="H5" i="19"/>
  <c r="J4" i="19"/>
  <c r="H4" i="19"/>
  <c r="J3" i="19"/>
  <c r="H3" i="19"/>
  <c r="H2" i="19"/>
  <c r="C75" i="17"/>
  <c r="F74" i="17"/>
  <c r="D74" i="17"/>
  <c r="F73" i="17"/>
  <c r="D73" i="17"/>
  <c r="F72" i="17"/>
  <c r="D72" i="17"/>
  <c r="F71" i="17"/>
  <c r="D71" i="17"/>
  <c r="F70" i="17"/>
  <c r="D70" i="17"/>
  <c r="F69" i="17"/>
  <c r="F75" i="17" s="1"/>
  <c r="C88" i="17" s="1"/>
  <c r="I6" i="17" s="1"/>
  <c r="D69" i="17"/>
  <c r="C64" i="17"/>
  <c r="E27" i="17"/>
  <c r="G19" i="17"/>
  <c r="F14" i="17"/>
  <c r="E13" i="17"/>
  <c r="D11" i="17"/>
  <c r="F11" i="17" s="1"/>
  <c r="G11" i="17" s="1"/>
  <c r="F10" i="17"/>
  <c r="H8" i="17"/>
  <c r="H7" i="17"/>
  <c r="H6" i="17"/>
  <c r="J5" i="17"/>
  <c r="H5" i="17"/>
  <c r="J4" i="17"/>
  <c r="H4" i="17"/>
  <c r="J3" i="17"/>
  <c r="H3" i="17"/>
  <c r="H2" i="17"/>
  <c r="C75" i="16"/>
  <c r="F74" i="16"/>
  <c r="D74" i="16"/>
  <c r="F73" i="16"/>
  <c r="D73" i="16"/>
  <c r="F72" i="16"/>
  <c r="D72" i="16"/>
  <c r="F71" i="16"/>
  <c r="D71" i="16"/>
  <c r="F70" i="16"/>
  <c r="D70" i="16"/>
  <c r="F69" i="16"/>
  <c r="F75" i="16" s="1"/>
  <c r="C88" i="16" s="1"/>
  <c r="I6" i="16" s="1"/>
  <c r="D69" i="16"/>
  <c r="C64" i="16"/>
  <c r="E27" i="16"/>
  <c r="G19" i="16"/>
  <c r="F14" i="16"/>
  <c r="E13" i="16"/>
  <c r="D11" i="16"/>
  <c r="F11" i="16" s="1"/>
  <c r="G11" i="16" s="1"/>
  <c r="F10" i="16"/>
  <c r="H8" i="16"/>
  <c r="H7" i="16"/>
  <c r="H6" i="16"/>
  <c r="J5" i="16"/>
  <c r="H5" i="16"/>
  <c r="J4" i="16"/>
  <c r="H4" i="16"/>
  <c r="J3" i="16"/>
  <c r="H3" i="16"/>
  <c r="H2" i="16"/>
  <c r="C75" i="15"/>
  <c r="F74" i="15"/>
  <c r="D74" i="15"/>
  <c r="F73" i="15"/>
  <c r="D73" i="15"/>
  <c r="F72" i="15"/>
  <c r="D72" i="15"/>
  <c r="F71" i="15"/>
  <c r="D71" i="15"/>
  <c r="F70" i="15"/>
  <c r="D70" i="15"/>
  <c r="F69" i="15"/>
  <c r="F75" i="15" s="1"/>
  <c r="C88" i="15" s="1"/>
  <c r="I6" i="15" s="1"/>
  <c r="D69" i="15"/>
  <c r="C64" i="15"/>
  <c r="E27" i="15"/>
  <c r="G19" i="15"/>
  <c r="F14" i="15"/>
  <c r="E13" i="15"/>
  <c r="D11" i="15"/>
  <c r="F11" i="15" s="1"/>
  <c r="G11" i="15" s="1"/>
  <c r="F10" i="15"/>
  <c r="H8" i="15"/>
  <c r="H7" i="15"/>
  <c r="H6" i="15"/>
  <c r="J5" i="15"/>
  <c r="H5" i="15"/>
  <c r="J4" i="15"/>
  <c r="H4" i="15"/>
  <c r="J3" i="15"/>
  <c r="H3" i="15"/>
  <c r="H2" i="15"/>
  <c r="C75" i="14"/>
  <c r="F74" i="14"/>
  <c r="D74" i="14"/>
  <c r="F73" i="14"/>
  <c r="D73" i="14"/>
  <c r="F72" i="14"/>
  <c r="D72" i="14"/>
  <c r="F71" i="14"/>
  <c r="D71" i="14"/>
  <c r="F70" i="14"/>
  <c r="D70" i="14"/>
  <c r="F69" i="14"/>
  <c r="F75" i="14" s="1"/>
  <c r="C88" i="14" s="1"/>
  <c r="I6" i="14" s="1"/>
  <c r="D69" i="14"/>
  <c r="C64" i="14"/>
  <c r="E27" i="14"/>
  <c r="G19" i="14"/>
  <c r="F14" i="14"/>
  <c r="E13" i="14"/>
  <c r="D11" i="14"/>
  <c r="F11" i="14" s="1"/>
  <c r="G11" i="14" s="1"/>
  <c r="H8" i="14"/>
  <c r="H7" i="14"/>
  <c r="H6" i="14"/>
  <c r="J5" i="14"/>
  <c r="H5" i="14"/>
  <c r="J4" i="14"/>
  <c r="H4" i="14"/>
  <c r="J3" i="14"/>
  <c r="H3" i="14"/>
  <c r="H2" i="14"/>
  <c r="C75" i="13"/>
  <c r="D74" i="13"/>
  <c r="F74" i="13" s="1"/>
  <c r="D73" i="13"/>
  <c r="F73" i="13" s="1"/>
  <c r="D72" i="13"/>
  <c r="F72" i="13" s="1"/>
  <c r="D71" i="13"/>
  <c r="F71" i="13" s="1"/>
  <c r="D70" i="13"/>
  <c r="F70" i="13" s="1"/>
  <c r="D69" i="13"/>
  <c r="F69" i="13" s="1"/>
  <c r="F75" i="13" s="1"/>
  <c r="C88" i="13" s="1"/>
  <c r="I6" i="13" s="1"/>
  <c r="C64" i="13"/>
  <c r="E27" i="13"/>
  <c r="G19" i="13"/>
  <c r="F14" i="13"/>
  <c r="E13" i="13"/>
  <c r="D11" i="13"/>
  <c r="F11" i="13" s="1"/>
  <c r="G11" i="13" s="1"/>
  <c r="H8" i="13"/>
  <c r="H7" i="13"/>
  <c r="H6" i="13"/>
  <c r="J5" i="13"/>
  <c r="H5" i="13"/>
  <c r="J4" i="13"/>
  <c r="H4" i="13"/>
  <c r="J3" i="13"/>
  <c r="H3" i="13"/>
  <c r="H2" i="13"/>
  <c r="C75" i="12"/>
  <c r="D74" i="12"/>
  <c r="F74" i="12" s="1"/>
  <c r="D73" i="12"/>
  <c r="F73" i="12" s="1"/>
  <c r="D72" i="12"/>
  <c r="F72" i="12" s="1"/>
  <c r="D71" i="12"/>
  <c r="F71" i="12" s="1"/>
  <c r="D70" i="12"/>
  <c r="F70" i="12" s="1"/>
  <c r="D69" i="12"/>
  <c r="F69" i="12" s="1"/>
  <c r="F75" i="12" s="1"/>
  <c r="C88" i="12" s="1"/>
  <c r="I6" i="12" s="1"/>
  <c r="C64" i="12"/>
  <c r="E27" i="12"/>
  <c r="G19" i="12"/>
  <c r="F14" i="12"/>
  <c r="E13" i="12"/>
  <c r="D11" i="12"/>
  <c r="F11" i="12" s="1"/>
  <c r="G11" i="12" s="1"/>
  <c r="H8" i="12"/>
  <c r="H7" i="12"/>
  <c r="H6" i="12"/>
  <c r="J5" i="12"/>
  <c r="H5" i="12"/>
  <c r="J4" i="12"/>
  <c r="H4" i="12"/>
  <c r="J3" i="12"/>
  <c r="H3" i="12"/>
  <c r="H2" i="12"/>
  <c r="C9" i="18"/>
  <c r="D9" i="18" s="1"/>
  <c r="E9" i="18" s="1"/>
  <c r="F9" i="18" s="1"/>
  <c r="G9" i="18" s="1"/>
  <c r="H9" i="18" s="1"/>
  <c r="I9" i="18" s="1"/>
  <c r="J9" i="18" s="1"/>
  <c r="K9" i="18" s="1"/>
  <c r="C75" i="11"/>
  <c r="D74" i="11"/>
  <c r="F74" i="11" s="1"/>
  <c r="D73" i="11"/>
  <c r="F73" i="11" s="1"/>
  <c r="D72" i="11"/>
  <c r="F72" i="11" s="1"/>
  <c r="D71" i="11"/>
  <c r="F71" i="11" s="1"/>
  <c r="D70" i="11"/>
  <c r="F70" i="11" s="1"/>
  <c r="D69" i="11"/>
  <c r="F69" i="11" s="1"/>
  <c r="C64" i="11"/>
  <c r="E27" i="11"/>
  <c r="G19" i="11"/>
  <c r="F14" i="11"/>
  <c r="E13" i="11"/>
  <c r="D11" i="11"/>
  <c r="F11" i="11" s="1"/>
  <c r="G11" i="11" s="1"/>
  <c r="H8" i="11"/>
  <c r="H7" i="11"/>
  <c r="H6" i="11"/>
  <c r="J5" i="11"/>
  <c r="H5" i="11"/>
  <c r="J4" i="11"/>
  <c r="H4" i="11"/>
  <c r="J3" i="11"/>
  <c r="H3" i="11"/>
  <c r="H2" i="11"/>
  <c r="C22" i="10"/>
  <c r="E22" i="10" s="1"/>
  <c r="C75" i="10"/>
  <c r="D74" i="10"/>
  <c r="F74" i="10" s="1"/>
  <c r="D73" i="10"/>
  <c r="F73" i="10" s="1"/>
  <c r="D72" i="10"/>
  <c r="F72" i="10" s="1"/>
  <c r="D71" i="10"/>
  <c r="F71" i="10" s="1"/>
  <c r="D70" i="10"/>
  <c r="F70" i="10" s="1"/>
  <c r="D69" i="10"/>
  <c r="F69" i="10" s="1"/>
  <c r="F75" i="10" s="1"/>
  <c r="C88" i="10" s="1"/>
  <c r="I6" i="10" s="1"/>
  <c r="C64" i="10"/>
  <c r="E27" i="10"/>
  <c r="G19" i="10"/>
  <c r="F14" i="10"/>
  <c r="E13" i="10"/>
  <c r="H8" i="10"/>
  <c r="H7" i="10"/>
  <c r="D11" i="10"/>
  <c r="F11" i="10" s="1"/>
  <c r="G11" i="10" s="1"/>
  <c r="H6" i="10"/>
  <c r="J5" i="10"/>
  <c r="H5" i="10"/>
  <c r="J4" i="10"/>
  <c r="H4" i="10"/>
  <c r="J3" i="10"/>
  <c r="H3" i="10"/>
  <c r="H2" i="10"/>
  <c r="B22" i="18"/>
  <c r="A22" i="18"/>
  <c r="C22" i="18" s="1"/>
  <c r="B10" i="18"/>
  <c r="C19" i="10" l="1"/>
  <c r="E12" i="9" s="1"/>
  <c r="I21" i="10"/>
  <c r="L14" i="18"/>
  <c r="B40" i="18"/>
  <c r="L15" i="18" s="1"/>
  <c r="B42" i="18"/>
  <c r="C39" i="18"/>
  <c r="C42" i="18" s="1"/>
  <c r="C44" i="18" s="1"/>
  <c r="F10" i="14"/>
  <c r="B10" i="24"/>
  <c r="C10" i="24" s="1"/>
  <c r="E4" i="25"/>
  <c r="D15" i="25"/>
  <c r="D16" i="25"/>
  <c r="A11" i="24"/>
  <c r="A11" i="23"/>
  <c r="C10" i="23"/>
  <c r="F6" i="23"/>
  <c r="F7" i="23" s="1"/>
  <c r="F8" i="23" s="1"/>
  <c r="F9" i="23" s="1"/>
  <c r="F10" i="23" s="1"/>
  <c r="F11" i="23" s="1"/>
  <c r="F12" i="23" s="1"/>
  <c r="F13" i="23" s="1"/>
  <c r="F14" i="23" s="1"/>
  <c r="F15" i="23" s="1"/>
  <c r="D16" i="23"/>
  <c r="E19" i="10"/>
  <c r="F19" i="10" s="1"/>
  <c r="H19" i="10" s="1"/>
  <c r="D6" i="22"/>
  <c r="B8" i="22"/>
  <c r="D8" i="22" s="1"/>
  <c r="D7" i="22"/>
  <c r="F10" i="10"/>
  <c r="F10" i="20"/>
  <c r="F75" i="19"/>
  <c r="C88" i="19" s="1"/>
  <c r="I6" i="19" s="1"/>
  <c r="F10" i="19"/>
  <c r="G10" i="17"/>
  <c r="G10" i="16"/>
  <c r="F37" i="16"/>
  <c r="G10" i="15"/>
  <c r="G10" i="14"/>
  <c r="F10" i="13"/>
  <c r="F10" i="12"/>
  <c r="F75" i="11"/>
  <c r="C88" i="11" s="1"/>
  <c r="I6" i="11" s="1"/>
  <c r="F10" i="11"/>
  <c r="G22" i="10"/>
  <c r="D13" i="10"/>
  <c r="F13" i="10" s="1"/>
  <c r="G13" i="10" s="1"/>
  <c r="G10" i="10"/>
  <c r="D22" i="18"/>
  <c r="C10" i="18"/>
  <c r="I21" i="11" s="1"/>
  <c r="B11" i="18"/>
  <c r="B13" i="18" s="1"/>
  <c r="B16" i="18" s="1"/>
  <c r="B44" i="18" l="1"/>
  <c r="D12" i="10"/>
  <c r="F12" i="10" s="1"/>
  <c r="G12" i="10" s="1"/>
  <c r="G15" i="10" s="1"/>
  <c r="F80" i="10" s="1"/>
  <c r="F82" i="10" s="1"/>
  <c r="F37" i="14"/>
  <c r="F4" i="25"/>
  <c r="E10" i="25"/>
  <c r="F10" i="25" s="1"/>
  <c r="B16" i="24"/>
  <c r="D10" i="24" s="1"/>
  <c r="D17" i="25"/>
  <c r="A12" i="24"/>
  <c r="C11" i="24"/>
  <c r="A12" i="23"/>
  <c r="C11" i="23"/>
  <c r="G10" i="20"/>
  <c r="F37" i="19"/>
  <c r="G10" i="19"/>
  <c r="F37" i="17"/>
  <c r="F37" i="15"/>
  <c r="F37" i="13"/>
  <c r="G10" i="13"/>
  <c r="F37" i="12"/>
  <c r="G10" i="12"/>
  <c r="G10" i="11"/>
  <c r="F37" i="11"/>
  <c r="C14" i="18"/>
  <c r="C15" i="18" s="1"/>
  <c r="C22" i="11" s="1"/>
  <c r="E22" i="11" s="1"/>
  <c r="C13" i="18"/>
  <c r="D14" i="18" s="1"/>
  <c r="D10" i="18"/>
  <c r="I21" i="12" s="1"/>
  <c r="C11" i="18"/>
  <c r="C19" i="11" s="1"/>
  <c r="B12" i="18"/>
  <c r="F15" i="10" l="1"/>
  <c r="C85" i="10" s="1"/>
  <c r="E19" i="11"/>
  <c r="F19" i="11" s="1"/>
  <c r="D12" i="11" s="1"/>
  <c r="F12" i="11" s="1"/>
  <c r="F37" i="20"/>
  <c r="F37" i="10"/>
  <c r="D12" i="24"/>
  <c r="D6" i="24"/>
  <c r="D13" i="24"/>
  <c r="D7" i="24"/>
  <c r="D11" i="24"/>
  <c r="D14" i="24"/>
  <c r="D8" i="24"/>
  <c r="D15" i="24"/>
  <c r="D9" i="24"/>
  <c r="D18" i="25"/>
  <c r="D26" i="25"/>
  <c r="A13" i="24"/>
  <c r="C12" i="24"/>
  <c r="A13" i="23"/>
  <c r="C12" i="23"/>
  <c r="H19" i="11"/>
  <c r="D13" i="11"/>
  <c r="F13" i="11" s="1"/>
  <c r="G13" i="11" s="1"/>
  <c r="G22" i="11"/>
  <c r="C19" i="12"/>
  <c r="C12" i="18"/>
  <c r="D15" i="18"/>
  <c r="C22" i="12" s="1"/>
  <c r="E22" i="12" s="1"/>
  <c r="C16" i="18"/>
  <c r="I3" i="10"/>
  <c r="D11" i="18"/>
  <c r="D13" i="18" s="1"/>
  <c r="E14" i="18" s="1"/>
  <c r="E10" i="18"/>
  <c r="I21" i="13" s="1"/>
  <c r="E19" i="12" l="1"/>
  <c r="F19" i="12" s="1"/>
  <c r="D12" i="12" s="1"/>
  <c r="F12" i="12" s="1"/>
  <c r="D16" i="24"/>
  <c r="F6" i="24"/>
  <c r="F7" i="24" s="1"/>
  <c r="F8" i="24" s="1"/>
  <c r="F9" i="24" s="1"/>
  <c r="F10" i="24" s="1"/>
  <c r="F11" i="24" s="1"/>
  <c r="F12" i="24" s="1"/>
  <c r="F13" i="24" s="1"/>
  <c r="F14" i="24" s="1"/>
  <c r="F15" i="24" s="1"/>
  <c r="D30" i="25"/>
  <c r="D27" i="25"/>
  <c r="D21" i="25"/>
  <c r="A14" i="24"/>
  <c r="C13" i="24"/>
  <c r="A14" i="23"/>
  <c r="C13" i="23"/>
  <c r="D16" i="18"/>
  <c r="G12" i="11"/>
  <c r="G15" i="11" s="1"/>
  <c r="F80" i="11" s="1"/>
  <c r="F82" i="11" s="1"/>
  <c r="F15" i="11"/>
  <c r="C85" i="11" s="1"/>
  <c r="D12" i="18"/>
  <c r="D13" i="12"/>
  <c r="F13" i="12" s="1"/>
  <c r="G13" i="12" s="1"/>
  <c r="G22" i="12"/>
  <c r="H19" i="12"/>
  <c r="F10" i="18"/>
  <c r="I21" i="14" s="1"/>
  <c r="E11" i="18"/>
  <c r="E15" i="18"/>
  <c r="C22" i="13" s="1"/>
  <c r="E22" i="13" s="1"/>
  <c r="A15" i="24" l="1"/>
  <c r="C15" i="24" s="1"/>
  <c r="C14" i="24"/>
  <c r="A15" i="23"/>
  <c r="C15" i="23" s="1"/>
  <c r="C14" i="23"/>
  <c r="E13" i="18"/>
  <c r="C19" i="13"/>
  <c r="G12" i="12"/>
  <c r="G15" i="12" s="1"/>
  <c r="F80" i="12" s="1"/>
  <c r="F82" i="12" s="1"/>
  <c r="F15" i="12"/>
  <c r="C85" i="12" s="1"/>
  <c r="G22" i="13"/>
  <c r="D13" i="13"/>
  <c r="F13" i="13" s="1"/>
  <c r="G13" i="13" s="1"/>
  <c r="I3" i="11"/>
  <c r="F11" i="18"/>
  <c r="F12" i="18" s="1"/>
  <c r="E12" i="18"/>
  <c r="E19" i="13" l="1"/>
  <c r="F19" i="13" s="1"/>
  <c r="D12" i="13" s="1"/>
  <c r="F12" i="13" s="1"/>
  <c r="C16" i="24"/>
  <c r="E15" i="24" s="1"/>
  <c r="E14" i="23"/>
  <c r="C16" i="23"/>
  <c r="E15" i="23"/>
  <c r="I3" i="12"/>
  <c r="F13" i="18"/>
  <c r="C19" i="14"/>
  <c r="F14" i="18"/>
  <c r="E16" i="18"/>
  <c r="L16" i="18"/>
  <c r="H19" i="13" l="1"/>
  <c r="E19" i="14"/>
  <c r="F19" i="14" s="1"/>
  <c r="D12" i="14" s="1"/>
  <c r="F12" i="14" s="1"/>
  <c r="B20" i="24"/>
  <c r="B21" i="24" s="1"/>
  <c r="D18" i="24"/>
  <c r="E6" i="24"/>
  <c r="E7" i="24"/>
  <c r="E8" i="24"/>
  <c r="E9" i="24"/>
  <c r="E10" i="24"/>
  <c r="E11" i="24"/>
  <c r="E12" i="24"/>
  <c r="E13" i="24"/>
  <c r="E14" i="24"/>
  <c r="D18" i="23"/>
  <c r="B20" i="23"/>
  <c r="B21" i="23" s="1"/>
  <c r="B24" i="23" s="1"/>
  <c r="E6" i="23"/>
  <c r="E7" i="23"/>
  <c r="E8" i="23"/>
  <c r="E9" i="23"/>
  <c r="E10" i="23"/>
  <c r="E11" i="23"/>
  <c r="E12" i="23"/>
  <c r="E13" i="23"/>
  <c r="H19" i="14"/>
  <c r="G12" i="13"/>
  <c r="G15" i="13" s="1"/>
  <c r="F80" i="13" s="1"/>
  <c r="F82" i="13" s="1"/>
  <c r="F15" i="13"/>
  <c r="C85" i="13" s="1"/>
  <c r="F15" i="18"/>
  <c r="C22" i="14" s="1"/>
  <c r="E22" i="14" s="1"/>
  <c r="G10" i="18"/>
  <c r="I21" i="15" s="1"/>
  <c r="G14" i="18"/>
  <c r="F16" i="18"/>
  <c r="G15" i="18" l="1"/>
  <c r="C22" i="15" s="1"/>
  <c r="E22" i="15" s="1"/>
  <c r="G22" i="15" s="1"/>
  <c r="B24" i="24"/>
  <c r="E11" i="25"/>
  <c r="E16" i="24"/>
  <c r="G6" i="24"/>
  <c r="H6" i="24" s="1"/>
  <c r="E16" i="23"/>
  <c r="G6" i="23"/>
  <c r="H6" i="23" s="1"/>
  <c r="G22" i="14"/>
  <c r="D13" i="14"/>
  <c r="F13" i="14" s="1"/>
  <c r="G13" i="14" s="1"/>
  <c r="I3" i="13"/>
  <c r="G12" i="14"/>
  <c r="G15" i="14" s="1"/>
  <c r="F80" i="14" s="1"/>
  <c r="F82" i="14" s="1"/>
  <c r="D13" i="15"/>
  <c r="F13" i="15" s="1"/>
  <c r="G13" i="15" s="1"/>
  <c r="H10" i="18"/>
  <c r="I21" i="16" s="1"/>
  <c r="G11" i="18"/>
  <c r="F15" i="14" l="1"/>
  <c r="C85" i="14" s="1"/>
  <c r="I3" i="14" s="1"/>
  <c r="F11" i="25"/>
  <c r="E13" i="25"/>
  <c r="G7" i="24"/>
  <c r="H7" i="24" s="1"/>
  <c r="G7" i="23"/>
  <c r="G13" i="18"/>
  <c r="C19" i="15"/>
  <c r="G12" i="18"/>
  <c r="H11" i="18"/>
  <c r="E19" i="15" l="1"/>
  <c r="F19" i="15" s="1"/>
  <c r="D12" i="15" s="1"/>
  <c r="F12" i="15" s="1"/>
  <c r="G8" i="24"/>
  <c r="G9" i="24" s="1"/>
  <c r="E16" i="25"/>
  <c r="E15" i="25"/>
  <c r="F15" i="25" s="1"/>
  <c r="F13" i="25"/>
  <c r="H7" i="23"/>
  <c r="G8" i="23"/>
  <c r="H13" i="18"/>
  <c r="C19" i="16"/>
  <c r="H12" i="18"/>
  <c r="H14" i="18"/>
  <c r="G16" i="18"/>
  <c r="H19" i="15" l="1"/>
  <c r="E19" i="16"/>
  <c r="F19" i="16" s="1"/>
  <c r="H19" i="16" s="1"/>
  <c r="H8" i="24"/>
  <c r="E17" i="25"/>
  <c r="F16" i="25"/>
  <c r="H9" i="24"/>
  <c r="G10" i="24"/>
  <c r="H8" i="23"/>
  <c r="G9" i="23"/>
  <c r="H15" i="18"/>
  <c r="C22" i="16" s="1"/>
  <c r="E22" i="16" s="1"/>
  <c r="I10" i="18"/>
  <c r="I21" i="17" s="1"/>
  <c r="G12" i="15"/>
  <c r="G15" i="15" s="1"/>
  <c r="F80" i="15" s="1"/>
  <c r="F82" i="15" s="1"/>
  <c r="F15" i="15"/>
  <c r="C85" i="15" s="1"/>
  <c r="D12" i="16"/>
  <c r="F12" i="16" s="1"/>
  <c r="I14" i="18"/>
  <c r="H16" i="18"/>
  <c r="I15" i="18" l="1"/>
  <c r="C22" i="17" s="1"/>
  <c r="E22" i="17" s="1"/>
  <c r="G22" i="17" s="1"/>
  <c r="E26" i="25"/>
  <c r="F17" i="25"/>
  <c r="H10" i="24"/>
  <c r="G11" i="24"/>
  <c r="H9" i="23"/>
  <c r="G10" i="23"/>
  <c r="I3" i="15"/>
  <c r="I11" i="18"/>
  <c r="J10" i="18"/>
  <c r="I21" i="19" s="1"/>
  <c r="I12" i="18"/>
  <c r="G12" i="16"/>
  <c r="G22" i="16"/>
  <c r="D13" i="16"/>
  <c r="F13" i="16" s="1"/>
  <c r="G13" i="16" s="1"/>
  <c r="A17" i="9"/>
  <c r="A18" i="9" s="1"/>
  <c r="A19" i="9" s="1"/>
  <c r="A20" i="9" s="1"/>
  <c r="A21" i="9" s="1"/>
  <c r="A22" i="9" s="1"/>
  <c r="A23" i="9" s="1"/>
  <c r="A24" i="9" s="1"/>
  <c r="A25" i="9" s="1"/>
  <c r="A26" i="9" s="1"/>
  <c r="D13" i="17" l="1"/>
  <c r="F13" i="17" s="1"/>
  <c r="G13" i="17" s="1"/>
  <c r="E27" i="25"/>
  <c r="F27" i="25" s="1"/>
  <c r="F26" i="25"/>
  <c r="H11" i="24"/>
  <c r="G12" i="24"/>
  <c r="H10" i="23"/>
  <c r="G11" i="23"/>
  <c r="I13" i="18"/>
  <c r="C19" i="17"/>
  <c r="G15" i="16"/>
  <c r="F80" i="16" s="1"/>
  <c r="F82" i="16" s="1"/>
  <c r="F15" i="16"/>
  <c r="C85" i="16" s="1"/>
  <c r="J11" i="18"/>
  <c r="J12" i="18" s="1"/>
  <c r="E19" i="17" l="1"/>
  <c r="F19" i="17" s="1"/>
  <c r="H19" i="17" s="1"/>
  <c r="H12" i="24"/>
  <c r="G13" i="24"/>
  <c r="H11" i="23"/>
  <c r="G12" i="23"/>
  <c r="I3" i="16"/>
  <c r="J13" i="18"/>
  <c r="C19" i="19"/>
  <c r="J14" i="18"/>
  <c r="I16" i="18"/>
  <c r="D12" i="17" l="1"/>
  <c r="F12" i="17" s="1"/>
  <c r="F15" i="17" s="1"/>
  <c r="C85" i="17" s="1"/>
  <c r="E19" i="19"/>
  <c r="F19" i="19" s="1"/>
  <c r="D12" i="19" s="1"/>
  <c r="F12" i="19" s="1"/>
  <c r="H13" i="24"/>
  <c r="G14" i="24"/>
  <c r="H12" i="23"/>
  <c r="G13" i="23"/>
  <c r="K14" i="18"/>
  <c r="J16" i="18"/>
  <c r="G12" i="17"/>
  <c r="G15" i="17" s="1"/>
  <c r="F80" i="17" s="1"/>
  <c r="F82" i="17" s="1"/>
  <c r="J15" i="18"/>
  <c r="C22" i="19" s="1"/>
  <c r="E22" i="19" s="1"/>
  <c r="K10" i="18"/>
  <c r="I21" i="20" s="1"/>
  <c r="H19" i="19" l="1"/>
  <c r="H14" i="24"/>
  <c r="G15" i="24"/>
  <c r="H15" i="24" s="1"/>
  <c r="H13" i="23"/>
  <c r="G14" i="23"/>
  <c r="I3" i="17"/>
  <c r="G12" i="19"/>
  <c r="G22" i="19"/>
  <c r="D13" i="19"/>
  <c r="F13" i="19" s="1"/>
  <c r="G13" i="19" s="1"/>
  <c r="M14" i="18"/>
  <c r="K15" i="18"/>
  <c r="M10" i="18"/>
  <c r="K11" i="18"/>
  <c r="K12" i="18" s="1"/>
  <c r="M12" i="18" s="1"/>
  <c r="H16" i="24" l="1"/>
  <c r="C18" i="24" s="1"/>
  <c r="H14" i="23"/>
  <c r="G15" i="23"/>
  <c r="H15" i="23" s="1"/>
  <c r="C22" i="20"/>
  <c r="E22" i="20" s="1"/>
  <c r="M15" i="18"/>
  <c r="K13" i="18"/>
  <c r="C19" i="20"/>
  <c r="M11" i="18"/>
  <c r="G15" i="19"/>
  <c r="F80" i="19" s="1"/>
  <c r="F82" i="19" s="1"/>
  <c r="F15" i="19"/>
  <c r="C85" i="19" s="1"/>
  <c r="E19" i="20" l="1"/>
  <c r="F19" i="20" s="1"/>
  <c r="D12" i="20" s="1"/>
  <c r="F12" i="20" s="1"/>
  <c r="H16" i="23"/>
  <c r="C18" i="23" s="1"/>
  <c r="I3" i="19"/>
  <c r="M13" i="18"/>
  <c r="K16" i="18"/>
  <c r="D13" i="20"/>
  <c r="F13" i="20" s="1"/>
  <c r="G13" i="20" s="1"/>
  <c r="G22" i="20"/>
  <c r="H19" i="20" l="1"/>
  <c r="G12" i="20"/>
  <c r="G15" i="20" s="1"/>
  <c r="F80" i="20" s="1"/>
  <c r="F82" i="20" s="1"/>
  <c r="F15" i="20"/>
  <c r="C85" i="20" s="1"/>
  <c r="I3" i="20" l="1"/>
  <c r="E27" i="2" l="1"/>
  <c r="C29" i="2" s="1"/>
  <c r="F29" i="2" s="1"/>
  <c r="E31" i="2"/>
  <c r="C31" i="2"/>
  <c r="F31" i="2" s="1"/>
  <c r="E30" i="2"/>
  <c r="D11" i="2"/>
  <c r="C75" i="2"/>
  <c r="F71" i="2"/>
  <c r="F72" i="2"/>
  <c r="F73" i="2"/>
  <c r="D74" i="2"/>
  <c r="D71" i="2"/>
  <c r="D72" i="2"/>
  <c r="D73" i="2"/>
  <c r="F60" i="2"/>
  <c r="C64" i="2" l="1"/>
  <c r="F35" i="2"/>
  <c r="E13" i="2"/>
  <c r="F11" i="2"/>
  <c r="G11" i="2" s="1"/>
  <c r="F36" i="2"/>
  <c r="G19" i="2"/>
  <c r="E19" i="2" l="1"/>
  <c r="F19" i="2" s="1"/>
  <c r="H19" i="2" s="1"/>
  <c r="F10" i="2"/>
  <c r="D12" i="2" l="1"/>
  <c r="E22" i="2" l="1"/>
  <c r="G22" i="2" l="1"/>
  <c r="D13" i="2"/>
  <c r="F13" i="2" s="1"/>
  <c r="G13" i="2" s="1"/>
  <c r="J3" i="2" l="1"/>
  <c r="J4" i="2"/>
  <c r="J5" i="2"/>
  <c r="H3" i="2"/>
  <c r="H4" i="2"/>
  <c r="H5" i="2"/>
  <c r="H6" i="2"/>
  <c r="H7" i="2"/>
  <c r="H8" i="2"/>
  <c r="H2" i="2"/>
  <c r="D70" i="2" l="1"/>
  <c r="D69" i="2"/>
  <c r="F74" i="2" l="1"/>
  <c r="F70" i="2" l="1"/>
  <c r="F69" i="2"/>
  <c r="F12" i="2"/>
  <c r="G12" i="2" s="1"/>
  <c r="F14" i="2"/>
  <c r="G10" i="2" l="1"/>
  <c r="F15" i="2"/>
  <c r="F75" i="2"/>
  <c r="C88" i="2" s="1"/>
  <c r="G15" i="2" l="1"/>
  <c r="F80" i="2" s="1"/>
  <c r="F82" i="2" s="1"/>
  <c r="I6" i="2"/>
  <c r="C85" i="2"/>
  <c r="I3" i="2" s="1"/>
  <c r="F34" i="2" l="1"/>
  <c r="C30" i="2"/>
  <c r="F30" i="2" s="1"/>
  <c r="F37" i="2" s="1"/>
  <c r="G37" i="2" l="1"/>
  <c r="I22" i="20" l="1"/>
  <c r="C12" i="20" s="1"/>
  <c r="I22" i="19"/>
  <c r="C12" i="19" s="1"/>
  <c r="E40" i="19" s="1"/>
  <c r="I22" i="17"/>
  <c r="C12" i="17" s="1"/>
  <c r="I22" i="16"/>
  <c r="C12" i="16" s="1"/>
  <c r="I22" i="15"/>
  <c r="C12" i="15" s="1"/>
  <c r="I22" i="14"/>
  <c r="C12" i="14" s="1"/>
  <c r="I22" i="13"/>
  <c r="C12" i="13" s="1"/>
  <c r="I22" i="12"/>
  <c r="C12" i="12" s="1"/>
  <c r="I22" i="11"/>
  <c r="C12" i="11" s="1"/>
  <c r="C12" i="2"/>
  <c r="E17" i="2" s="1"/>
  <c r="I22" i="10"/>
  <c r="C12" i="10" s="1"/>
  <c r="C13" i="14" l="1"/>
  <c r="C15" i="14"/>
  <c r="E17" i="14"/>
  <c r="E40" i="14"/>
  <c r="E17" i="10"/>
  <c r="C13" i="10"/>
  <c r="C15" i="10"/>
  <c r="E40" i="10"/>
  <c r="E17" i="13"/>
  <c r="C15" i="13"/>
  <c r="C13" i="13"/>
  <c r="E40" i="13"/>
  <c r="E17" i="17"/>
  <c r="C15" i="17"/>
  <c r="C13" i="17"/>
  <c r="E40" i="17"/>
  <c r="C15" i="11"/>
  <c r="C13" i="11"/>
  <c r="E17" i="12"/>
  <c r="C15" i="12"/>
  <c r="C13" i="12"/>
  <c r="C15" i="15"/>
  <c r="C13" i="15"/>
  <c r="C15" i="16"/>
  <c r="E17" i="16"/>
  <c r="C13" i="16"/>
  <c r="F55" i="19"/>
  <c r="F52" i="19"/>
  <c r="F46" i="19"/>
  <c r="C15" i="20"/>
  <c r="E40" i="20"/>
  <c r="C13" i="20"/>
  <c r="F54" i="19"/>
  <c r="F44" i="19"/>
  <c r="E17" i="15"/>
  <c r="C15" i="2"/>
  <c r="C13" i="2"/>
  <c r="E40" i="11"/>
  <c r="E40" i="12"/>
  <c r="E40" i="15"/>
  <c r="E40" i="16"/>
  <c r="F42" i="19"/>
  <c r="E17" i="19"/>
  <c r="C13" i="19"/>
  <c r="E40" i="2"/>
  <c r="E49" i="19"/>
  <c r="E17" i="20"/>
  <c r="F45" i="19"/>
  <c r="F43" i="19"/>
  <c r="C15" i="19"/>
  <c r="E17" i="11"/>
  <c r="F51" i="19" l="1"/>
  <c r="F56" i="19" s="1"/>
  <c r="F53" i="19"/>
  <c r="F47" i="19"/>
  <c r="C86" i="19" s="1"/>
  <c r="F46" i="15"/>
  <c r="F43" i="15"/>
  <c r="F44" i="15"/>
  <c r="F54" i="15"/>
  <c r="F45" i="15"/>
  <c r="F55" i="15"/>
  <c r="E49" i="15"/>
  <c r="F52" i="15"/>
  <c r="F42" i="15"/>
  <c r="F54" i="11"/>
  <c r="F44" i="11"/>
  <c r="F46" i="11"/>
  <c r="E49" i="11"/>
  <c r="F55" i="11"/>
  <c r="F45" i="11"/>
  <c r="F52" i="11"/>
  <c r="F43" i="11"/>
  <c r="F42" i="11"/>
  <c r="F55" i="2"/>
  <c r="F46" i="2"/>
  <c r="F52" i="2"/>
  <c r="F43" i="2"/>
  <c r="E49" i="2"/>
  <c r="F42" i="2"/>
  <c r="F44" i="2"/>
  <c r="F45" i="2"/>
  <c r="F54" i="2"/>
  <c r="F62" i="2"/>
  <c r="F55" i="16"/>
  <c r="F43" i="16"/>
  <c r="F46" i="16"/>
  <c r="E49" i="16"/>
  <c r="F52" i="16"/>
  <c r="F54" i="16"/>
  <c r="F44" i="16"/>
  <c r="F45" i="16"/>
  <c r="F42" i="16"/>
  <c r="F46" i="12"/>
  <c r="F45" i="12"/>
  <c r="F44" i="12"/>
  <c r="F43" i="12"/>
  <c r="F54" i="12"/>
  <c r="F52" i="12"/>
  <c r="E49" i="12"/>
  <c r="F55" i="12"/>
  <c r="F42" i="12"/>
  <c r="F47" i="12" s="1"/>
  <c r="F52" i="20"/>
  <c r="F46" i="20"/>
  <c r="F43" i="20"/>
  <c r="F44" i="20"/>
  <c r="E49" i="20"/>
  <c r="F45" i="20"/>
  <c r="F55" i="20"/>
  <c r="F42" i="20"/>
  <c r="F54" i="20"/>
  <c r="F43" i="17"/>
  <c r="F44" i="17"/>
  <c r="F54" i="17"/>
  <c r="F45" i="17"/>
  <c r="F52" i="17"/>
  <c r="E49" i="17"/>
  <c r="F55" i="17"/>
  <c r="F42" i="17"/>
  <c r="F46" i="17"/>
  <c r="F46" i="13"/>
  <c r="F52" i="13"/>
  <c r="F45" i="13"/>
  <c r="F54" i="13"/>
  <c r="F44" i="13"/>
  <c r="F43" i="13"/>
  <c r="F55" i="13"/>
  <c r="E49" i="13"/>
  <c r="F42" i="13"/>
  <c r="F52" i="10"/>
  <c r="F46" i="10"/>
  <c r="F44" i="10"/>
  <c r="F45" i="10"/>
  <c r="F43" i="10"/>
  <c r="F42" i="10"/>
  <c r="F54" i="10"/>
  <c r="F55" i="10"/>
  <c r="E49" i="10"/>
  <c r="F43" i="14"/>
  <c r="F52" i="14"/>
  <c r="F55" i="14"/>
  <c r="F44" i="14"/>
  <c r="F45" i="14"/>
  <c r="F54" i="14"/>
  <c r="E49" i="14"/>
  <c r="F42" i="14"/>
  <c r="F46" i="14"/>
  <c r="F47" i="15" l="1"/>
  <c r="F47" i="16"/>
  <c r="F47" i="11"/>
  <c r="F51" i="14"/>
  <c r="F53" i="14"/>
  <c r="F53" i="10"/>
  <c r="F51" i="10"/>
  <c r="F53" i="13"/>
  <c r="F51" i="13"/>
  <c r="F53" i="20"/>
  <c r="F51" i="20"/>
  <c r="F47" i="2"/>
  <c r="F51" i="11"/>
  <c r="F53" i="11"/>
  <c r="I4" i="19"/>
  <c r="C87" i="19"/>
  <c r="I5" i="19" s="1"/>
  <c r="C89" i="19"/>
  <c r="F47" i="14"/>
  <c r="F47" i="10"/>
  <c r="F47" i="13"/>
  <c r="F47" i="17"/>
  <c r="F53" i="17"/>
  <c r="F51" i="17"/>
  <c r="F47" i="20"/>
  <c r="F51" i="12"/>
  <c r="F53" i="12"/>
  <c r="F53" i="16"/>
  <c r="F51" i="16"/>
  <c r="F53" i="2"/>
  <c r="F51" i="2"/>
  <c r="F53" i="15"/>
  <c r="F51" i="15"/>
  <c r="F56" i="2" l="1"/>
  <c r="C86" i="2" s="1"/>
  <c r="F56" i="11"/>
  <c r="C86" i="11" s="1"/>
  <c r="C87" i="11" s="1"/>
  <c r="I5" i="11" s="1"/>
  <c r="F56" i="16"/>
  <c r="C86" i="16" s="1"/>
  <c r="C87" i="16" s="1"/>
  <c r="I5" i="16" s="1"/>
  <c r="F56" i="15"/>
  <c r="C86" i="15" s="1"/>
  <c r="I4" i="15" s="1"/>
  <c r="F56" i="14"/>
  <c r="C86" i="14" s="1"/>
  <c r="I4" i="11"/>
  <c r="F56" i="12"/>
  <c r="C86" i="12" s="1"/>
  <c r="F56" i="17"/>
  <c r="C86" i="17" s="1"/>
  <c r="I7" i="19"/>
  <c r="E85" i="19"/>
  <c r="K3" i="19" s="1"/>
  <c r="C90" i="19"/>
  <c r="E86" i="19"/>
  <c r="K4" i="19" s="1"/>
  <c r="F56" i="20"/>
  <c r="C86" i="20" s="1"/>
  <c r="F56" i="13"/>
  <c r="C86" i="13" s="1"/>
  <c r="F56" i="10"/>
  <c r="C86" i="10" s="1"/>
  <c r="C89" i="11" l="1"/>
  <c r="C87" i="15"/>
  <c r="I5" i="15" s="1"/>
  <c r="I4" i="16"/>
  <c r="C89" i="16"/>
  <c r="I7" i="16" s="1"/>
  <c r="C87" i="14"/>
  <c r="I5" i="14" s="1"/>
  <c r="C89" i="14"/>
  <c r="E85" i="14" s="1"/>
  <c r="K3" i="14" s="1"/>
  <c r="I4" i="14"/>
  <c r="C89" i="15"/>
  <c r="E85" i="15" s="1"/>
  <c r="K3" i="15" s="1"/>
  <c r="C89" i="20"/>
  <c r="I4" i="20"/>
  <c r="C87" i="20"/>
  <c r="I5" i="20" s="1"/>
  <c r="I4" i="17"/>
  <c r="C87" i="17"/>
  <c r="I5" i="17" s="1"/>
  <c r="C89" i="17"/>
  <c r="I4" i="13"/>
  <c r="C87" i="13"/>
  <c r="I5" i="13" s="1"/>
  <c r="C89" i="13"/>
  <c r="C87" i="10"/>
  <c r="I5" i="10" s="1"/>
  <c r="I4" i="10"/>
  <c r="C89" i="10"/>
  <c r="C89" i="2"/>
  <c r="I4" i="2"/>
  <c r="B16" i="9" s="1"/>
  <c r="C87" i="2"/>
  <c r="I5" i="2" s="1"/>
  <c r="E86" i="11"/>
  <c r="K4" i="11" s="1"/>
  <c r="E85" i="11"/>
  <c r="K3" i="11" s="1"/>
  <c r="I7" i="11"/>
  <c r="C90" i="11"/>
  <c r="E87" i="19"/>
  <c r="K5" i="19" s="1"/>
  <c r="I8" i="19"/>
  <c r="G25" i="9" s="1"/>
  <c r="H25" i="9" s="1"/>
  <c r="C87" i="12"/>
  <c r="I5" i="12" s="1"/>
  <c r="I4" i="12"/>
  <c r="C89" i="12"/>
  <c r="E86" i="14"/>
  <c r="K4" i="14" s="1"/>
  <c r="I7" i="15" l="1"/>
  <c r="E86" i="16"/>
  <c r="K4" i="16" s="1"/>
  <c r="E85" i="16"/>
  <c r="K3" i="16" s="1"/>
  <c r="C90" i="14"/>
  <c r="E87" i="14" s="1"/>
  <c r="K5" i="14" s="1"/>
  <c r="C90" i="16"/>
  <c r="I8" i="16" s="1"/>
  <c r="G23" i="9" s="1"/>
  <c r="H23" i="9" s="1"/>
  <c r="I7" i="14"/>
  <c r="E86" i="15"/>
  <c r="K4" i="15" s="1"/>
  <c r="C90" i="15"/>
  <c r="I8" i="15" s="1"/>
  <c r="G22" i="9" s="1"/>
  <c r="H22" i="9" s="1"/>
  <c r="I25" i="9"/>
  <c r="E87" i="11"/>
  <c r="K5" i="11" s="1"/>
  <c r="I8" i="11"/>
  <c r="G18" i="9" s="1"/>
  <c r="H18" i="9" s="1"/>
  <c r="C90" i="2"/>
  <c r="E85" i="2"/>
  <c r="K3" i="2" s="1"/>
  <c r="E86" i="2"/>
  <c r="K4" i="2" s="1"/>
  <c r="I7" i="2"/>
  <c r="G13" i="21" s="1"/>
  <c r="I7" i="13"/>
  <c r="E85" i="13"/>
  <c r="K3" i="13" s="1"/>
  <c r="E86" i="13"/>
  <c r="K4" i="13" s="1"/>
  <c r="C90" i="13"/>
  <c r="I7" i="20"/>
  <c r="E86" i="20"/>
  <c r="K4" i="20" s="1"/>
  <c r="C90" i="20"/>
  <c r="E85" i="20"/>
  <c r="K3" i="20" s="1"/>
  <c r="I7" i="12"/>
  <c r="E86" i="12"/>
  <c r="K4" i="12" s="1"/>
  <c r="E85" i="12"/>
  <c r="K3" i="12" s="1"/>
  <c r="C90" i="12"/>
  <c r="E11" i="9"/>
  <c r="I7" i="10"/>
  <c r="E86" i="10"/>
  <c r="K4" i="10" s="1"/>
  <c r="E85" i="10"/>
  <c r="K3" i="10" s="1"/>
  <c r="C90" i="10"/>
  <c r="E86" i="17"/>
  <c r="K4" i="17" s="1"/>
  <c r="E85" i="17"/>
  <c r="K3" i="17" s="1"/>
  <c r="I7" i="17"/>
  <c r="C90" i="17"/>
  <c r="E87" i="16" l="1"/>
  <c r="K5" i="16" s="1"/>
  <c r="E87" i="15"/>
  <c r="K5" i="15" s="1"/>
  <c r="I8" i="14"/>
  <c r="G21" i="9" s="1"/>
  <c r="H21" i="9" s="1"/>
  <c r="I21" i="9" s="1"/>
  <c r="C17" i="9"/>
  <c r="D17" i="9"/>
  <c r="B27" i="9"/>
  <c r="I8" i="20"/>
  <c r="G26" i="9" s="1"/>
  <c r="H26" i="9" s="1"/>
  <c r="E87" i="20"/>
  <c r="K5" i="20" s="1"/>
  <c r="E87" i="2"/>
  <c r="K5" i="2" s="1"/>
  <c r="I8" i="2"/>
  <c r="E87" i="17"/>
  <c r="K5" i="17" s="1"/>
  <c r="I8" i="17"/>
  <c r="G24" i="9" s="1"/>
  <c r="H24" i="9" s="1"/>
  <c r="E87" i="10"/>
  <c r="K5" i="10" s="1"/>
  <c r="I8" i="10"/>
  <c r="G17" i="9" s="1"/>
  <c r="H17" i="9" s="1"/>
  <c r="E87" i="12"/>
  <c r="K5" i="12" s="1"/>
  <c r="I8" i="12"/>
  <c r="G19" i="9" s="1"/>
  <c r="H19" i="9" s="1"/>
  <c r="I23" i="9"/>
  <c r="E87" i="13"/>
  <c r="K5" i="13" s="1"/>
  <c r="I8" i="13"/>
  <c r="G20" i="9" s="1"/>
  <c r="H20" i="9" s="1"/>
  <c r="G14" i="21"/>
  <c r="G15" i="21"/>
  <c r="G16" i="21" s="1"/>
  <c r="C14" i="21" s="1"/>
  <c r="E9" i="25" s="1"/>
  <c r="I18" i="9"/>
  <c r="I22" i="9"/>
  <c r="K25" i="9"/>
  <c r="L5" i="20" l="1"/>
  <c r="K22" i="9"/>
  <c r="F9" i="25"/>
  <c r="I4" i="25" s="1"/>
  <c r="E21" i="25"/>
  <c r="F21" i="25" s="1"/>
  <c r="E18" i="25"/>
  <c r="I20" i="9"/>
  <c r="I19" i="9"/>
  <c r="H27" i="9"/>
  <c r="G7" i="9" s="1"/>
  <c r="I17" i="9"/>
  <c r="I24" i="9"/>
  <c r="C18" i="9"/>
  <c r="K21" i="9"/>
  <c r="K18" i="9"/>
  <c r="G17" i="21"/>
  <c r="C13" i="21"/>
  <c r="G18" i="21"/>
  <c r="K23" i="9"/>
  <c r="I26" i="9"/>
  <c r="D18" i="9"/>
  <c r="E17" i="9"/>
  <c r="F17" i="9" s="1"/>
  <c r="E18" i="9" l="1"/>
  <c r="D19" i="9"/>
  <c r="K24" i="9"/>
  <c r="K19" i="9"/>
  <c r="K20" i="9"/>
  <c r="E30" i="25"/>
  <c r="F30" i="25" s="1"/>
  <c r="F18" i="25"/>
  <c r="K26" i="9"/>
  <c r="F18" i="9"/>
  <c r="L18" i="9" s="1"/>
  <c r="M18" i="9" s="1"/>
  <c r="C19" i="9"/>
  <c r="G8" i="9"/>
  <c r="J17" i="9"/>
  <c r="J18" i="9" s="1"/>
  <c r="J19" i="9" s="1"/>
  <c r="J20" i="9" s="1"/>
  <c r="J21" i="9" s="1"/>
  <c r="J22" i="9" s="1"/>
  <c r="J23" i="9" s="1"/>
  <c r="J24" i="9" s="1"/>
  <c r="J25" i="9" s="1"/>
  <c r="J26" i="9" s="1"/>
  <c r="I27" i="9"/>
  <c r="G4" i="9" s="1"/>
  <c r="K17" i="9"/>
  <c r="L17" i="9"/>
  <c r="M17" i="9" l="1"/>
  <c r="K27" i="9"/>
  <c r="G5" i="9" s="1"/>
  <c r="C20" i="9"/>
  <c r="D20" i="9"/>
  <c r="E19" i="9"/>
  <c r="F19" i="9" s="1"/>
  <c r="L19" i="9" l="1"/>
  <c r="D21" i="9"/>
  <c r="E20" i="9"/>
  <c r="F20" i="9" s="1"/>
  <c r="L20" i="9" s="1"/>
  <c r="M20" i="9" s="1"/>
  <c r="C21" i="9"/>
  <c r="E21" i="9" l="1"/>
  <c r="F21" i="9" s="1"/>
  <c r="L21" i="9" s="1"/>
  <c r="M21" i="9" s="1"/>
  <c r="D22" i="9"/>
  <c r="M19" i="9"/>
  <c r="C22" i="9"/>
  <c r="C23" i="9" l="1"/>
  <c r="E22" i="9"/>
  <c r="F22" i="9" s="1"/>
  <c r="L22" i="9" s="1"/>
  <c r="D23" i="9"/>
  <c r="M22" i="9" l="1"/>
  <c r="D24" i="9"/>
  <c r="E23" i="9"/>
  <c r="F23" i="9" s="1"/>
  <c r="L23" i="9" s="1"/>
  <c r="M23" i="9" s="1"/>
  <c r="C24" i="9"/>
  <c r="E24" i="9" l="1"/>
  <c r="F24" i="9" s="1"/>
  <c r="L24" i="9" s="1"/>
  <c r="M24" i="9" s="1"/>
  <c r="D25" i="9"/>
  <c r="C25" i="9"/>
  <c r="C26" i="9" l="1"/>
  <c r="E25" i="9"/>
  <c r="F25" i="9" s="1"/>
  <c r="L25" i="9" s="1"/>
  <c r="M25" i="9" s="1"/>
  <c r="D26" i="9"/>
  <c r="E26" i="9" s="1"/>
  <c r="F26" i="9" l="1"/>
  <c r="C27" i="9"/>
  <c r="C29" i="9" s="1"/>
  <c r="E27" i="9"/>
  <c r="L26" i="9" l="1"/>
  <c r="F27" i="9"/>
  <c r="M26" i="9" l="1"/>
  <c r="M27" i="9" s="1"/>
  <c r="L27" i="9"/>
</calcChain>
</file>

<file path=xl/sharedStrings.xml><?xml version="1.0" encoding="utf-8"?>
<sst xmlns="http://schemas.openxmlformats.org/spreadsheetml/2006/main" count="1906" uniqueCount="334">
  <si>
    <t xml:space="preserve">subsistência </t>
  </si>
  <si>
    <t>atividade</t>
  </si>
  <si>
    <t>Consumo Intermediário</t>
  </si>
  <si>
    <t>Quantidade</t>
  </si>
  <si>
    <t>Total</t>
  </si>
  <si>
    <t>Depreciações</t>
  </si>
  <si>
    <t>Adubo</t>
  </si>
  <si>
    <t>UTF</t>
  </si>
  <si>
    <t>kg</t>
  </si>
  <si>
    <t xml:space="preserve">Preço </t>
  </si>
  <si>
    <t xml:space="preserve">Valor </t>
  </si>
  <si>
    <t>valor novo</t>
  </si>
  <si>
    <t>valor residual</t>
  </si>
  <si>
    <t>vida util</t>
  </si>
  <si>
    <t>valor ano</t>
  </si>
  <si>
    <t>valor agregado</t>
  </si>
  <si>
    <t>RA</t>
  </si>
  <si>
    <t>valor/Utf</t>
  </si>
  <si>
    <t>VA/SAU</t>
  </si>
  <si>
    <t>RA/UTf</t>
  </si>
  <si>
    <t>Funrural</t>
  </si>
  <si>
    <t>Consumo intermediário</t>
  </si>
  <si>
    <t>SAU</t>
  </si>
  <si>
    <t>Frango caipira</t>
  </si>
  <si>
    <t>Feijão</t>
  </si>
  <si>
    <t>Leite</t>
  </si>
  <si>
    <t>Uni.</t>
  </si>
  <si>
    <t>Atividade</t>
  </si>
  <si>
    <t>Área</t>
  </si>
  <si>
    <t>Itens</t>
  </si>
  <si>
    <t>Unidade</t>
  </si>
  <si>
    <t>sc/há</t>
  </si>
  <si>
    <t>Semente</t>
  </si>
  <si>
    <t>sc</t>
  </si>
  <si>
    <t>Uréia</t>
  </si>
  <si>
    <t>carga/há</t>
  </si>
  <si>
    <t>Consumo Intermediário do Frango caipira</t>
  </si>
  <si>
    <t>Frango</t>
  </si>
  <si>
    <t>Aveia</t>
  </si>
  <si>
    <t>Área(há)</t>
  </si>
  <si>
    <t>Kg/há</t>
  </si>
  <si>
    <t>kg/há</t>
  </si>
  <si>
    <t>saca/há</t>
  </si>
  <si>
    <t>Unidades</t>
  </si>
  <si>
    <t>Torta de soja</t>
  </si>
  <si>
    <t>Nucleo</t>
  </si>
  <si>
    <t>Consumo Intermediário Feijão</t>
  </si>
  <si>
    <t>Subsistencia</t>
  </si>
  <si>
    <t>Aquisição de pintinhos</t>
  </si>
  <si>
    <t>Cálculo da Distribuição do Valor Agregado, exceto a renda agropecuária (DVAER)</t>
  </si>
  <si>
    <t>Vl Total</t>
  </si>
  <si>
    <t>%RB</t>
  </si>
  <si>
    <t>Sindicato</t>
  </si>
  <si>
    <t>ano</t>
  </si>
  <si>
    <t>Total DVAER</t>
  </si>
  <si>
    <t>Valor agregado bruto</t>
  </si>
  <si>
    <t>1 galpão, 1 aviário, estrutura de condução uva</t>
  </si>
  <si>
    <t>Produção Bruta</t>
  </si>
  <si>
    <t>Síntese dos resultados globais</t>
  </si>
  <si>
    <t>Indices Zootécnicos</t>
  </si>
  <si>
    <t>Natalidade</t>
  </si>
  <si>
    <t>Mortalidade média</t>
  </si>
  <si>
    <t>Idade 1ª cria</t>
  </si>
  <si>
    <t>Categoria anim.</t>
  </si>
  <si>
    <t>UB</t>
  </si>
  <si>
    <t>Total Vacas</t>
  </si>
  <si>
    <t>Vacas Sêcas (méd. anual)</t>
  </si>
  <si>
    <t>Terneiros total</t>
  </si>
  <si>
    <t>Terneiras (0-1 a.)</t>
  </si>
  <si>
    <t>Novilhas (1 a 2 a.)</t>
  </si>
  <si>
    <t>Vacas de Descarte</t>
  </si>
  <si>
    <t>Rebanho (fêmeas)</t>
  </si>
  <si>
    <t>Lotação</t>
  </si>
  <si>
    <t>PB Leite</t>
  </si>
  <si>
    <t>Rend./dia</t>
  </si>
  <si>
    <t>Produção diária</t>
  </si>
  <si>
    <t>Produção anual</t>
  </si>
  <si>
    <t>Preço</t>
  </si>
  <si>
    <t>Produto Bruto</t>
  </si>
  <si>
    <t>Vacas de descarte</t>
  </si>
  <si>
    <t>PB Vacas de reforma</t>
  </si>
  <si>
    <t>Cabeças/ano</t>
  </si>
  <si>
    <t>Peso vivo/cab. (kg/a)</t>
  </si>
  <si>
    <t>Produção PV (kg)</t>
  </si>
  <si>
    <t>Produto bruto</t>
  </si>
  <si>
    <t>Vac. em lact.(cab)</t>
  </si>
  <si>
    <t>Area</t>
  </si>
  <si>
    <t>ha</t>
  </si>
  <si>
    <t>Vacas de reforma</t>
  </si>
  <si>
    <t>Produção</t>
  </si>
  <si>
    <t>10 ha ( bovinocultura de leite + frango caipira (milho)+ feijão + subsistencia)</t>
  </si>
  <si>
    <t>Consumo Intermediário leite</t>
  </si>
  <si>
    <t>Aveia Inverno</t>
  </si>
  <si>
    <t>Produtor familiar diversificado (camponês)</t>
  </si>
  <si>
    <t>Milheto</t>
  </si>
  <si>
    <t>Vacas Lactação</t>
  </si>
  <si>
    <t>Aviário 5X8</t>
  </si>
  <si>
    <t>Galpão</t>
  </si>
  <si>
    <t>Trator</t>
  </si>
  <si>
    <t>Diesel + manutenção</t>
  </si>
  <si>
    <t>Hrs/ha</t>
  </si>
  <si>
    <t>Implementos</t>
  </si>
  <si>
    <t>Carreta</t>
  </si>
  <si>
    <t>Triturador</t>
  </si>
  <si>
    <t>Milho comprado</t>
  </si>
  <si>
    <t>Semente milho</t>
  </si>
  <si>
    <t>Avaliação Financeira</t>
  </si>
  <si>
    <t>Plano de financiamento</t>
  </si>
  <si>
    <t>Renda Liquida do Projeto</t>
  </si>
  <si>
    <t>Prazo</t>
  </si>
  <si>
    <t>anos</t>
  </si>
  <si>
    <t>Saldo Liquido Atual</t>
  </si>
  <si>
    <t>Juros</t>
  </si>
  <si>
    <t>a.a.</t>
  </si>
  <si>
    <t>Tempo de Recup. do Invest.</t>
  </si>
  <si>
    <t>Carência</t>
  </si>
  <si>
    <t>Retorno/Unidade Investida</t>
  </si>
  <si>
    <t>Taxa Interna de Retorno</t>
  </si>
  <si>
    <t>Fluxos</t>
  </si>
  <si>
    <t>Ano</t>
  </si>
  <si>
    <t>Investim.</t>
  </si>
  <si>
    <t>Amortiz.</t>
  </si>
  <si>
    <t>Principal</t>
  </si>
  <si>
    <t>Prestação</t>
  </si>
  <si>
    <t>Renda total</t>
  </si>
  <si>
    <t>Renda Proj.</t>
  </si>
  <si>
    <t>RP-Inv.</t>
  </si>
  <si>
    <t>RP-Inv.Ac.</t>
  </si>
  <si>
    <t>RP-Inv. at.</t>
  </si>
  <si>
    <t>RP-Prest.</t>
  </si>
  <si>
    <t>RP-P atual.</t>
  </si>
  <si>
    <t>Análise financeira do projeto</t>
  </si>
  <si>
    <t>Indices zootécnicos</t>
  </si>
  <si>
    <t xml:space="preserve">Natalidade </t>
  </si>
  <si>
    <t>Idade 1a. Cria</t>
  </si>
  <si>
    <t>EVOLUÇÃO DO REBANHO</t>
  </si>
  <si>
    <t>CATEGORIA / ANO</t>
  </si>
  <si>
    <t>Equilíbrio</t>
  </si>
  <si>
    <t>Total de vacas</t>
  </si>
  <si>
    <t>Vacas em lactação</t>
  </si>
  <si>
    <t>Vacas secas</t>
  </si>
  <si>
    <t>Terneiras</t>
  </si>
  <si>
    <t>Novilhas</t>
  </si>
  <si>
    <t>Lactação:</t>
  </si>
  <si>
    <t>dias</t>
  </si>
  <si>
    <t>Natalidade x período entre partos</t>
  </si>
  <si>
    <t>Lactação</t>
  </si>
  <si>
    <t>Seca</t>
  </si>
  <si>
    <t>Ciclo total</t>
  </si>
  <si>
    <t>Nº VACAS FINAL (TOTAL)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</si>
  <si>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</si>
  <si>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</si>
  <si>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</si>
  <si>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</si>
  <si>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</si>
  <si>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</si>
  <si>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</si>
  <si>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</si>
  <si>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Total de animais</t>
  </si>
  <si>
    <t>1 galpão, 1 aviário, trator equipado</t>
  </si>
  <si>
    <t>Hrs</t>
  </si>
  <si>
    <t>INDENIZAÇÃO E VALOR DA AGREGADO DIRETO DE UM PROJETO DE ASSENTAMENTO DE REFORMA AGRÁRIA</t>
  </si>
  <si>
    <t>SITUAÇÃO INICIAL</t>
  </si>
  <si>
    <t>SITUAÇÃO DE CHEGADA</t>
  </si>
  <si>
    <t>Tipo:</t>
  </si>
  <si>
    <t>Pecuária de corte capitalista</t>
  </si>
  <si>
    <t>Local:</t>
  </si>
  <si>
    <t>Município rural</t>
  </si>
  <si>
    <t>Valor Agregado</t>
  </si>
  <si>
    <t>R$/ano</t>
  </si>
  <si>
    <t>Projeto:</t>
  </si>
  <si>
    <t>VA/ha</t>
  </si>
  <si>
    <t>Area total</t>
  </si>
  <si>
    <t>Lotes</t>
  </si>
  <si>
    <t>Indenização</t>
  </si>
  <si>
    <t>Área total</t>
  </si>
  <si>
    <t>Área/lote</t>
  </si>
  <si>
    <t>Número de lotes</t>
  </si>
  <si>
    <t>Valor terra/ha</t>
  </si>
  <si>
    <t>Valor lote</t>
  </si>
  <si>
    <t>Valor Total da terra</t>
  </si>
  <si>
    <t>VA do Projeto</t>
  </si>
  <si>
    <t>Valor agregado/lote</t>
  </si>
  <si>
    <t>VAM do Proj.</t>
  </si>
  <si>
    <t>VA do assentamento</t>
  </si>
  <si>
    <t>VA Monetário/lote</t>
  </si>
  <si>
    <t>VAM do assentam.</t>
  </si>
  <si>
    <t>R$/ha</t>
  </si>
  <si>
    <t>VA/pessoa</t>
  </si>
  <si>
    <t>Pessoas/família</t>
  </si>
  <si>
    <t>Pessoas assentadas</t>
  </si>
  <si>
    <t>Pecuária de bovinos de corte extensiva em ciclo completo</t>
  </si>
  <si>
    <t>RENDA</t>
  </si>
  <si>
    <t>UT</t>
  </si>
  <si>
    <t>Rebanho:</t>
  </si>
  <si>
    <t>VA</t>
  </si>
  <si>
    <t>UTf</t>
  </si>
  <si>
    <t>Vacas</t>
  </si>
  <si>
    <t>PB</t>
  </si>
  <si>
    <t>CI</t>
  </si>
  <si>
    <t xml:space="preserve"> Nov 1-2</t>
  </si>
  <si>
    <t>VAB</t>
  </si>
  <si>
    <t>VA/UT</t>
  </si>
  <si>
    <t>Nov 2-3</t>
  </si>
  <si>
    <t>V Desc</t>
  </si>
  <si>
    <t>Anim./ha</t>
  </si>
  <si>
    <t>DVA</t>
  </si>
  <si>
    <t>PRODUÇÃO BRUTA:</t>
  </si>
  <si>
    <t>Numero</t>
  </si>
  <si>
    <t>Peso</t>
  </si>
  <si>
    <t>preço</t>
  </si>
  <si>
    <t>CONSUMO INTERMEDIÁRIO</t>
  </si>
  <si>
    <t>Un.</t>
  </si>
  <si>
    <t>CI/Un.</t>
  </si>
  <si>
    <t>Rebanho</t>
  </si>
  <si>
    <t>cab.</t>
  </si>
  <si>
    <t>DEPRECIAÇÕES ANUAIS</t>
  </si>
  <si>
    <t>Valor novo</t>
  </si>
  <si>
    <t>V. residual%</t>
  </si>
  <si>
    <t>Vida útil</t>
  </si>
  <si>
    <t>Dep. anual</t>
  </si>
  <si>
    <t>Curral+banheiro</t>
  </si>
  <si>
    <t>Cercas</t>
  </si>
  <si>
    <t>Trator+implementos</t>
  </si>
  <si>
    <t>Galpões</t>
  </si>
  <si>
    <t>Distribuição da renda na situação inicial</t>
  </si>
  <si>
    <t>Ajuste do índice Gini</t>
  </si>
  <si>
    <t>p = número</t>
  </si>
  <si>
    <t>proporção no estrato</t>
  </si>
  <si>
    <t>proporção acumulada</t>
  </si>
  <si>
    <t>área dos</t>
  </si>
  <si>
    <t>R média anual</t>
  </si>
  <si>
    <t>de pessoas</t>
  </si>
  <si>
    <t>V. A. Total</t>
  </si>
  <si>
    <t>pessoas</t>
  </si>
  <si>
    <t xml:space="preserve">renda </t>
  </si>
  <si>
    <t>renda</t>
  </si>
  <si>
    <t>trapézios (beta)</t>
  </si>
  <si>
    <t>indice de Gini = 1- (2*beta) =</t>
  </si>
  <si>
    <t>R média glob</t>
  </si>
  <si>
    <t>a =</t>
  </si>
  <si>
    <t>ai =</t>
  </si>
  <si>
    <t>b =</t>
  </si>
  <si>
    <t>a/ai % =</t>
  </si>
  <si>
    <t>Distribuição da renda na situação final</t>
  </si>
  <si>
    <t>Extratos de renda</t>
  </si>
  <si>
    <t>Valor agr. total</t>
  </si>
  <si>
    <t>Efeitos econômicos de um projeto de assentamento em um pequeno município rural</t>
  </si>
  <si>
    <t>Situação inicial</t>
  </si>
  <si>
    <t>Situação final</t>
  </si>
  <si>
    <t>Diferença SF-SI</t>
  </si>
  <si>
    <t>Obs.</t>
  </si>
  <si>
    <t>P =</t>
  </si>
  <si>
    <t>população</t>
  </si>
  <si>
    <t>Efeitos induzidos</t>
  </si>
  <si>
    <t>Y = C + I + G + E - M</t>
  </si>
  <si>
    <t>renda total</t>
  </si>
  <si>
    <t>Efeitos diretos+induzidos</t>
  </si>
  <si>
    <t>G =</t>
  </si>
  <si>
    <t>gastos públicos</t>
  </si>
  <si>
    <t>T = tY</t>
  </si>
  <si>
    <t>impostos</t>
  </si>
  <si>
    <t>C = Yc(1-t)</t>
  </si>
  <si>
    <t>consumo</t>
  </si>
  <si>
    <t>E =</t>
  </si>
  <si>
    <t>exportações</t>
  </si>
  <si>
    <t>C por pessoa</t>
  </si>
  <si>
    <t>consumo per capita</t>
  </si>
  <si>
    <t>coef. distrib. renda</t>
  </si>
  <si>
    <t>coef. tipo de produto</t>
  </si>
  <si>
    <t>CL = (a*(C por pessoa)^b)*P]</t>
  </si>
  <si>
    <t>consumo local</t>
  </si>
  <si>
    <t>S = Ys</t>
  </si>
  <si>
    <t>poupança</t>
  </si>
  <si>
    <t>M1 = mi*CL</t>
  </si>
  <si>
    <t>importações p/produção</t>
  </si>
  <si>
    <t>M2 (importado diretam.)</t>
  </si>
  <si>
    <t>importações p/consumo</t>
  </si>
  <si>
    <t>M = M1 + M2 =</t>
  </si>
  <si>
    <t>importações</t>
  </si>
  <si>
    <t>E - M</t>
  </si>
  <si>
    <t>balança comercial</t>
  </si>
  <si>
    <t>G - T</t>
  </si>
  <si>
    <t>déficit público</t>
  </si>
  <si>
    <t>I - S</t>
  </si>
  <si>
    <t>conta de capital</t>
  </si>
  <si>
    <t>Y = (G+E+I) / (mg+t+s)</t>
  </si>
  <si>
    <t>s = 1 - t - c(1-t)</t>
  </si>
  <si>
    <t>coef. poupança</t>
  </si>
  <si>
    <t xml:space="preserve">c = </t>
  </si>
  <si>
    <t>coef. consumo</t>
  </si>
  <si>
    <t>t =</t>
  </si>
  <si>
    <t>coef. impostos</t>
  </si>
  <si>
    <t xml:space="preserve">mi = </t>
  </si>
  <si>
    <t>coef. importação p/prod.</t>
  </si>
  <si>
    <t>mg =</t>
  </si>
  <si>
    <t>coef. global importação</t>
  </si>
  <si>
    <t>k = Y/(s + t + mg)</t>
  </si>
  <si>
    <t>multiplicador</t>
  </si>
  <si>
    <t>L =</t>
  </si>
  <si>
    <t>prop. poup. gasta ext.</t>
  </si>
  <si>
    <t>I = Y*s*(1-L)</t>
  </si>
  <si>
    <t>investimento</t>
  </si>
  <si>
    <t>Balanço Global =</t>
  </si>
  <si>
    <t>balanço global</t>
  </si>
  <si>
    <t>COMPRA DE VACAS COM CRIA</t>
  </si>
  <si>
    <t>REBANHO EM EQUILIBRIO REPRODUTIVO</t>
  </si>
  <si>
    <t>Familiar Leite diversificado</t>
  </si>
  <si>
    <t>Tipo (assentados):</t>
  </si>
  <si>
    <t>Instalação de um assentamento de reforma agrária</t>
  </si>
  <si>
    <t>m lineares</t>
  </si>
  <si>
    <t>Novilhos(as) gordos</t>
  </si>
  <si>
    <t>Vacas paridas</t>
  </si>
  <si>
    <t>animais/ha</t>
  </si>
  <si>
    <t>NRS</t>
  </si>
  <si>
    <t>EVOLUÇÃO DO REBANHO DE BOVINOS DE LEITE</t>
  </si>
  <si>
    <t>Investimentos</t>
  </si>
  <si>
    <t>Total dos equipamentos e construções</t>
  </si>
  <si>
    <t>Consumo intermediário sit.chegada</t>
  </si>
  <si>
    <t xml:space="preserve"> (1º ano)</t>
  </si>
  <si>
    <t>Total de vacas/ha</t>
  </si>
  <si>
    <t>Rebate</t>
  </si>
  <si>
    <t>NRS fam.</t>
  </si>
  <si>
    <t xml:space="preserve"> (% Investimento)</t>
  </si>
  <si>
    <t>Vacas compradas (com terneiras)</t>
  </si>
  <si>
    <t>ANO 10</t>
  </si>
  <si>
    <t>ANO 9</t>
  </si>
  <si>
    <t>Mort. média</t>
  </si>
  <si>
    <t>Idade 1a.Cria</t>
  </si>
  <si>
    <t>Terneiros</t>
  </si>
  <si>
    <t>RA/UTF</t>
  </si>
  <si>
    <t>R/"UTF"</t>
  </si>
  <si>
    <t>VAMAs/VAPC</t>
  </si>
  <si>
    <t xml:space="preserve"> (50% anos zero e 1º)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</si>
</sst>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  <numFmt numFmtId="166" formatCode="0.0"/>
    <numFmt numFmtId="167" formatCode="_-[$R$-416]\ * #,##0.00_-;\-[$R$-416]\ * #,##0.00_-;_-[$R$-416]\ * &quot;-&quot;??_-;_-@_-"/>
    <numFmt numFmtId="168" formatCode="0.0%"/>
    <numFmt numFmtId="169" formatCode="0.000"/>
    <numFmt numFmtId="170" formatCode="#,##0.000"/>
    <numFmt numFmtId="171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2"/>
      <color theme="1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indexed="54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06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164" fontId="0" fillId="0" borderId="1" xfId="0" applyNumberFormat="1" applyBorder="1"/>
    <xf numFmtId="164" fontId="0" fillId="0" borderId="0" xfId="0" applyNumberFormat="1"/>
    <xf numFmtId="0" fontId="0" fillId="0" borderId="2" xfId="0" applyFill="1" applyBorder="1"/>
    <xf numFmtId="44" fontId="0" fillId="0" borderId="1" xfId="0" applyNumberFormat="1" applyBorder="1"/>
    <xf numFmtId="44" fontId="0" fillId="0" borderId="0" xfId="0" applyNumberFormat="1" applyBorder="1"/>
    <xf numFmtId="44" fontId="0" fillId="0" borderId="0" xfId="0" applyNumberForma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166" fontId="0" fillId="0" borderId="1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166" fontId="3" fillId="0" borderId="1" xfId="0" applyNumberFormat="1" applyFont="1" applyBorder="1" applyAlignment="1">
      <alignment horizontal="center"/>
    </xf>
    <xf numFmtId="0" fontId="4" fillId="0" borderId="0" xfId="0" applyFont="1" applyBorder="1"/>
    <xf numFmtId="166" fontId="0" fillId="0" borderId="0" xfId="2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2" fontId="3" fillId="0" borderId="0" xfId="0" applyNumberFormat="1" applyFont="1" applyFill="1" applyBorder="1"/>
    <xf numFmtId="0" fontId="0" fillId="0" borderId="0" xfId="0" applyFont="1"/>
    <xf numFmtId="166" fontId="0" fillId="0" borderId="0" xfId="0" applyNumberFormat="1" applyFont="1"/>
    <xf numFmtId="0" fontId="4" fillId="0" borderId="1" xfId="0" applyFont="1" applyFill="1" applyBorder="1"/>
    <xf numFmtId="166" fontId="4" fillId="0" borderId="1" xfId="0" applyNumberFormat="1" applyFont="1" applyBorder="1" applyAlignment="1">
      <alignment horizontal="center"/>
    </xf>
    <xf numFmtId="0" fontId="2" fillId="0" borderId="0" xfId="0" applyFont="1"/>
    <xf numFmtId="10" fontId="0" fillId="0" borderId="1" xfId="0" applyNumberFormat="1" applyBorder="1"/>
    <xf numFmtId="165" fontId="0" fillId="0" borderId="0" xfId="0" applyNumberFormat="1"/>
    <xf numFmtId="165" fontId="3" fillId="0" borderId="0" xfId="0" applyNumberFormat="1" applyFont="1" applyBorder="1"/>
    <xf numFmtId="0" fontId="3" fillId="0" borderId="0" xfId="0" applyFont="1" applyBorder="1"/>
    <xf numFmtId="165" fontId="0" fillId="0" borderId="0" xfId="0" applyNumberFormat="1" applyBorder="1"/>
    <xf numFmtId="0" fontId="7" fillId="0" borderId="0" xfId="0" applyFont="1"/>
    <xf numFmtId="0" fontId="0" fillId="2" borderId="0" xfId="0" applyFill="1" applyBorder="1"/>
    <xf numFmtId="0" fontId="8" fillId="0" borderId="0" xfId="0" applyFont="1"/>
    <xf numFmtId="0" fontId="6" fillId="2" borderId="0" xfId="0" applyFont="1" applyFill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 applyBorder="1"/>
    <xf numFmtId="44" fontId="0" fillId="0" borderId="1" xfId="0" applyNumberForma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Fill="1"/>
    <xf numFmtId="0" fontId="7" fillId="0" borderId="0" xfId="0" applyFont="1" applyFill="1"/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43" fontId="0" fillId="0" borderId="0" xfId="2" applyFont="1" applyFill="1" applyBorder="1"/>
    <xf numFmtId="0" fontId="0" fillId="0" borderId="0" xfId="0" applyFont="1" applyFill="1"/>
    <xf numFmtId="2" fontId="0" fillId="0" borderId="1" xfId="0" applyNumberFormat="1" applyFill="1" applyBorder="1"/>
    <xf numFmtId="43" fontId="0" fillId="0" borderId="1" xfId="2" applyFont="1" applyFill="1" applyBorder="1"/>
    <xf numFmtId="2" fontId="3" fillId="0" borderId="1" xfId="0" applyNumberFormat="1" applyFont="1" applyFill="1" applyBorder="1"/>
    <xf numFmtId="44" fontId="0" fillId="0" borderId="0" xfId="0" applyNumberFormat="1" applyFill="1" applyBorder="1"/>
    <xf numFmtId="166" fontId="0" fillId="0" borderId="1" xfId="2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2" borderId="0" xfId="0" applyFont="1" applyFill="1" applyBorder="1"/>
    <xf numFmtId="4" fontId="0" fillId="0" borderId="1" xfId="1" applyNumberFormat="1" applyFont="1" applyBorder="1" applyAlignment="1">
      <alignment horizontal="center"/>
    </xf>
    <xf numFmtId="4" fontId="0" fillId="0" borderId="1" xfId="1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NumberFormat="1" applyFill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3" fontId="0" fillId="0" borderId="3" xfId="0" applyNumberFormat="1" applyBorder="1" applyAlignment="1">
      <alignment horizontal="center"/>
    </xf>
    <xf numFmtId="0" fontId="0" fillId="0" borderId="7" xfId="0" applyBorder="1"/>
    <xf numFmtId="3" fontId="0" fillId="0" borderId="1" xfId="0" applyNumberFormat="1" applyBorder="1" applyAlignment="1">
      <alignment horizontal="center"/>
    </xf>
    <xf numFmtId="9" fontId="0" fillId="3" borderId="1" xfId="0" applyNumberFormat="1" applyFill="1" applyBorder="1"/>
    <xf numFmtId="0" fontId="0" fillId="3" borderId="1" xfId="0" applyFill="1" applyBorder="1"/>
    <xf numFmtId="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10" fontId="0" fillId="0" borderId="0" xfId="0" applyNumberFormat="1"/>
    <xf numFmtId="0" fontId="0" fillId="0" borderId="1" xfId="0" applyFill="1" applyBorder="1" applyAlignment="1">
      <alignment horizontal="left"/>
    </xf>
    <xf numFmtId="168" fontId="0" fillId="0" borderId="0" xfId="0" applyNumberFormat="1" applyBorder="1"/>
    <xf numFmtId="1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/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/>
    <xf numFmtId="0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167" fontId="0" fillId="0" borderId="0" xfId="0" applyNumberFormat="1" applyBorder="1"/>
    <xf numFmtId="0" fontId="4" fillId="0" borderId="5" xfId="0" applyFont="1" applyBorder="1"/>
    <xf numFmtId="4" fontId="4" fillId="0" borderId="3" xfId="0" applyNumberFormat="1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0" fontId="4" fillId="0" borderId="5" xfId="0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wrapText="1"/>
    </xf>
    <xf numFmtId="4" fontId="0" fillId="0" borderId="1" xfId="0" applyNumberFormat="1" applyBorder="1"/>
    <xf numFmtId="0" fontId="4" fillId="0" borderId="10" xfId="0" applyFont="1" applyBorder="1"/>
    <xf numFmtId="4" fontId="4" fillId="0" borderId="1" xfId="0" applyNumberFormat="1" applyFont="1" applyFill="1" applyBorder="1" applyAlignment="1">
      <alignment horizontal="left"/>
    </xf>
    <xf numFmtId="0" fontId="0" fillId="2" borderId="0" xfId="0" applyFill="1"/>
    <xf numFmtId="0" fontId="0" fillId="2" borderId="1" xfId="0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9" fontId="0" fillId="2" borderId="1" xfId="0" applyNumberFormat="1" applyFill="1" applyBorder="1"/>
    <xf numFmtId="4" fontId="0" fillId="2" borderId="0" xfId="0" applyNumberFormat="1" applyFill="1"/>
    <xf numFmtId="1" fontId="0" fillId="2" borderId="1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/>
    <xf numFmtId="4" fontId="4" fillId="2" borderId="1" xfId="0" applyNumberFormat="1" applyFont="1" applyFill="1" applyBorder="1"/>
    <xf numFmtId="0" fontId="4" fillId="2" borderId="5" xfId="0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4" fillId="2" borderId="5" xfId="0" applyFont="1" applyFill="1" applyBorder="1"/>
    <xf numFmtId="166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4" fillId="2" borderId="0" xfId="0" applyFont="1" applyFill="1" applyBorder="1"/>
    <xf numFmtId="0" fontId="11" fillId="2" borderId="0" xfId="0" applyFont="1" applyFill="1" applyBorder="1" applyAlignment="1">
      <alignment horizontal="right"/>
    </xf>
    <xf numFmtId="4" fontId="11" fillId="2" borderId="0" xfId="0" applyNumberFormat="1" applyFont="1" applyFill="1" applyBorder="1"/>
    <xf numFmtId="4" fontId="3" fillId="2" borderId="0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4" fontId="0" fillId="2" borderId="0" xfId="0" applyNumberFormat="1" applyFill="1" applyBorder="1"/>
    <xf numFmtId="4" fontId="0" fillId="2" borderId="0" xfId="0" applyNumberFormat="1" applyFill="1" applyBorder="1" applyAlignment="1">
      <alignment horizontal="right"/>
    </xf>
    <xf numFmtId="9" fontId="4" fillId="2" borderId="1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12" fillId="2" borderId="0" xfId="0" applyFont="1" applyFill="1"/>
    <xf numFmtId="4" fontId="3" fillId="2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7" xfId="0" applyFont="1" applyBorder="1"/>
    <xf numFmtId="0" fontId="4" fillId="0" borderId="0" xfId="0" applyFont="1" applyFill="1" applyBorder="1"/>
    <xf numFmtId="0" fontId="4" fillId="0" borderId="8" xfId="0" applyFont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 wrapText="1"/>
    </xf>
    <xf numFmtId="4" fontId="4" fillId="0" borderId="8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2" fontId="4" fillId="0" borderId="0" xfId="0" applyNumberFormat="1" applyFont="1"/>
    <xf numFmtId="0" fontId="4" fillId="4" borderId="1" xfId="0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169" fontId="4" fillId="0" borderId="1" xfId="0" applyNumberFormat="1" applyFont="1" applyBorder="1" applyAlignment="1">
      <alignment horizontal="center"/>
    </xf>
    <xf numFmtId="169" fontId="4" fillId="0" borderId="0" xfId="0" applyNumberFormat="1" applyFont="1" applyBorder="1" applyAlignment="1">
      <alignment horizontal="center"/>
    </xf>
    <xf numFmtId="3" fontId="4" fillId="0" borderId="11" xfId="0" applyNumberFormat="1" applyFont="1" applyFill="1" applyBorder="1" applyAlignment="1">
      <alignment horizont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NumberFormat="1" applyFont="1" applyBorder="1"/>
    <xf numFmtId="3" fontId="4" fillId="0" borderId="0" xfId="0" applyNumberFormat="1" applyFont="1"/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0" xfId="0" applyNumberFormat="1" applyFont="1" applyBorder="1" applyAlignment="1">
      <alignment horizontal="center"/>
    </xf>
    <xf numFmtId="0" fontId="3" fillId="3" borderId="1" xfId="0" applyFont="1" applyFill="1" applyBorder="1"/>
    <xf numFmtId="10" fontId="4" fillId="0" borderId="1" xfId="0" applyNumberFormat="1" applyFont="1" applyBorder="1"/>
    <xf numFmtId="10" fontId="13" fillId="0" borderId="0" xfId="0" applyNumberFormat="1" applyFont="1" applyBorder="1"/>
    <xf numFmtId="168" fontId="4" fillId="0" borderId="0" xfId="0" applyNumberFormat="1" applyFont="1" applyBorder="1" applyAlignment="1">
      <alignment horizontal="center"/>
    </xf>
    <xf numFmtId="169" fontId="4" fillId="0" borderId="0" xfId="0" applyNumberFormat="1" applyFont="1" applyBorder="1"/>
    <xf numFmtId="0" fontId="4" fillId="0" borderId="9" xfId="0" applyFont="1" applyBorder="1"/>
    <xf numFmtId="3" fontId="4" fillId="4" borderId="1" xfId="0" applyNumberFormat="1" applyFont="1" applyFill="1" applyBorder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4" fillId="0" borderId="1" xfId="0" applyFont="1" applyBorder="1"/>
    <xf numFmtId="3" fontId="14" fillId="0" borderId="1" xfId="0" applyNumberFormat="1" applyFont="1" applyBorder="1"/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6" xfId="0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8" fillId="0" borderId="5" xfId="0" applyNumberFormat="1" applyFont="1" applyBorder="1" applyAlignment="1">
      <alignment horizontal="center"/>
    </xf>
    <xf numFmtId="170" fontId="16" fillId="0" borderId="1" xfId="0" applyNumberFormat="1" applyFon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15" fillId="0" borderId="5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3" fontId="12" fillId="0" borderId="0" xfId="0" applyNumberFormat="1" applyFont="1" applyBorder="1"/>
    <xf numFmtId="3" fontId="12" fillId="0" borderId="0" xfId="0" applyNumberFormat="1" applyFont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/>
    </xf>
    <xf numFmtId="3" fontId="14" fillId="0" borderId="16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14" fillId="0" borderId="10" xfId="0" applyNumberFormat="1" applyFont="1" applyBorder="1" applyAlignment="1">
      <alignment horizontal="center"/>
    </xf>
    <xf numFmtId="3" fontId="14" fillId="0" borderId="0" xfId="0" applyNumberFormat="1" applyFont="1"/>
    <xf numFmtId="0" fontId="12" fillId="0" borderId="5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0" fillId="0" borderId="0" xfId="0" applyNumberFormat="1"/>
    <xf numFmtId="0" fontId="16" fillId="0" borderId="1" xfId="0" applyNumberFormat="1" applyFont="1" applyBorder="1" applyAlignment="1">
      <alignment horizontal="center"/>
    </xf>
    <xf numFmtId="4" fontId="4" fillId="5" borderId="8" xfId="0" applyNumberFormat="1" applyFont="1" applyFill="1" applyBorder="1" applyAlignment="1">
      <alignment horizontal="center" wrapText="1"/>
    </xf>
    <xf numFmtId="4" fontId="0" fillId="5" borderId="1" xfId="0" applyNumberFormat="1" applyFill="1" applyBorder="1"/>
    <xf numFmtId="0" fontId="3" fillId="6" borderId="0" xfId="0" applyNumberFormat="1" applyFont="1" applyFill="1"/>
    <xf numFmtId="4" fontId="19" fillId="6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3" fontId="20" fillId="7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0" fillId="0" borderId="10" xfId="0" applyFill="1" applyBorder="1"/>
    <xf numFmtId="0" fontId="0" fillId="0" borderId="17" xfId="0" applyFill="1" applyBorder="1"/>
    <xf numFmtId="0" fontId="0" fillId="0" borderId="17" xfId="0" applyBorder="1"/>
    <xf numFmtId="164" fontId="0" fillId="0" borderId="17" xfId="0" applyNumberFormat="1" applyBorder="1"/>
    <xf numFmtId="9" fontId="0" fillId="0" borderId="18" xfId="0" applyNumberFormat="1" applyBorder="1" applyAlignment="1">
      <alignment horizontal="center"/>
    </xf>
    <xf numFmtId="0" fontId="0" fillId="0" borderId="15" xfId="0" applyFill="1" applyBorder="1"/>
    <xf numFmtId="0" fontId="0" fillId="0" borderId="11" xfId="0" applyBorder="1"/>
    <xf numFmtId="0" fontId="0" fillId="0" borderId="16" xfId="0" applyFill="1" applyBorder="1"/>
    <xf numFmtId="0" fontId="0" fillId="0" borderId="4" xfId="0" applyBorder="1"/>
    <xf numFmtId="0" fontId="0" fillId="0" borderId="4" xfId="0" applyFill="1" applyBorder="1"/>
    <xf numFmtId="164" fontId="0" fillId="0" borderId="4" xfId="0" applyNumberFormat="1" applyBorder="1"/>
    <xf numFmtId="2" fontId="0" fillId="0" borderId="0" xfId="0" applyNumberFormat="1" applyBorder="1"/>
    <xf numFmtId="167" fontId="4" fillId="0" borderId="0" xfId="0" applyNumberFormat="1" applyFont="1" applyFill="1" applyBorder="1" applyAlignment="1">
      <alignment horizontal="center"/>
    </xf>
    <xf numFmtId="171" fontId="0" fillId="0" borderId="0" xfId="0" applyNumberFormat="1"/>
    <xf numFmtId="9" fontId="0" fillId="0" borderId="1" xfId="0" applyNumberFormat="1" applyFill="1" applyBorder="1"/>
    <xf numFmtId="4" fontId="14" fillId="0" borderId="0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4" fillId="0" borderId="1" xfId="0" applyFont="1" applyBorder="1" applyAlignment="1"/>
    <xf numFmtId="0" fontId="0" fillId="0" borderId="1" xfId="0" applyBorder="1" applyAlignment="1"/>
  </cellXfs>
  <cellStyles count="4">
    <cellStyle name="Moeda" xfId="1" builtinId="4"/>
    <cellStyle name="Normal" xfId="0" builtinId="0"/>
    <cellStyle name="Normal 2" xfId="3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'Proj. Indiv.'!$L$15</c:f>
              <c:strCache>
                <c:ptCount val="1"/>
                <c:pt idx="0">
                  <c:v>RP-Prest.</c:v>
                </c:pt>
              </c:strCache>
            </c:strRef>
          </c:tx>
          <c:invertIfNegative val="0"/>
          <c:val>
            <c:numRef>
              <c:f>'Proj. Indiv.'!$L$17:$L$26</c:f>
              <c:numCache>
                <c:formatCode>#,##0</c:formatCode>
                <c:ptCount val="10"/>
                <c:pt idx="0">
                  <c:v>8925.756307692307</c:v>
                </c:pt>
                <c:pt idx="1">
                  <c:v>3409.8292410256417</c:v>
                </c:pt>
                <c:pt idx="2">
                  <c:v>6341.1670420512819</c:v>
                </c:pt>
                <c:pt idx="3">
                  <c:v>5379.7625184351655</c:v>
                </c:pt>
                <c:pt idx="4">
                  <c:v>6950.9595738428761</c:v>
                </c:pt>
                <c:pt idx="5">
                  <c:v>5693.1827556010649</c:v>
                </c:pt>
                <c:pt idx="6">
                  <c:v>6642.5626162449498</c:v>
                </c:pt>
                <c:pt idx="7">
                  <c:v>7781.3348220221014</c:v>
                </c:pt>
                <c:pt idx="8">
                  <c:v>12874.394192579384</c:v>
                </c:pt>
                <c:pt idx="9">
                  <c:v>13947.290780952375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03904"/>
        <c:axId val="30205440"/>
      </c:barChart>
      <c:lineChart>
        <c:grouping val="standard"/>
        <c:varyColors val="0"/>
        <c:ser>
          <c:idx val="1"/>
          <c:order val="1"/>
          <c:tx>
            <c:strRef>
              <c:f>'Proj. Indiv.'!$N$15</c:f>
              <c:strCache>
                <c:ptCount val="1"/>
                <c:pt idx="0">
                  <c:v>NRS fam.</c:v>
                </c:pt>
              </c:strCache>
            </c:strRef>
          </c:tx>
          <c:spPr>
            <a:ln w="28575"/>
          </c:spPr>
          <c:marker>
            <c:symbol val="none"/>
          </c:marker>
          <c:val>
            <c:numRef>
              <c:f>'Proj. Indiv.'!$N$17:$N$26</c:f>
              <c:numCache>
                <c:formatCode>#,##0.00</c:formatCode>
                <c:ptCount val="10"/>
                <c:pt idx="0">
                  <c:v>22880</c:v>
                </c:pt>
                <c:pt idx="1">
                  <c:v>22880</c:v>
                </c:pt>
                <c:pt idx="2">
                  <c:v>22880</c:v>
                </c:pt>
                <c:pt idx="3">
                  <c:v>22880</c:v>
                </c:pt>
                <c:pt idx="4">
                  <c:v>22880</c:v>
                </c:pt>
                <c:pt idx="5">
                  <c:v>22880</c:v>
                </c:pt>
                <c:pt idx="6">
                  <c:v>22880</c:v>
                </c:pt>
                <c:pt idx="7">
                  <c:v>22880</c:v>
                </c:pt>
                <c:pt idx="8">
                  <c:v>22880</c:v>
                </c:pt>
                <c:pt idx="9">
                  <c:v>22880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03904"/>
        <c:axId val="30205440"/>
      </c:lineChart>
      <c:catAx>
        <c:axId val="30203904"/>
        <c:scaling>
          <c:orientation val="minMax"/>
        </c:scaling>
        <c:delete val="0"/>
        <c:axPos val="b"/>
        <c:majorTickMark val="out"/>
        <c:minorTickMark val="none"/>
        <c:tickLblPos val="nextTo"/>
        <c:crossAx val="30205440"/>
        <c:crosses val="autoZero"/>
        <c:auto val="1"/>
        <c:lblAlgn val="ctr"/>
        <c:lblOffset val="100"/>
        <c:noMultiLvlLbl val="0"/>
      </c:catAx>
      <c:valAx>
        <c:axId val="30205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203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0</xdr:row>
      <xdr:rowOff>47625</xdr:rowOff>
    </xdr:from>
    <xdr:to>
      <xdr:col>15</xdr:col>
      <xdr:colOff>95250</xdr:colOff>
      <xdr:row>13</xdr:row>
      <xdr:rowOff>47625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62</xdr:row>
      <xdr:rowOff>114300</xdr:rowOff>
    </xdr:from>
    <xdr:to>
      <xdr:col>9</xdr:col>
      <xdr:colOff>552450</xdr:colOff>
      <xdr:row>64</xdr:row>
      <xdr:rowOff>0</xdr:rowOff>
    </xdr:to>
    <xdr:sp macro="" textlink="">
      <xdr:nvSpPr>
        <xdr:cNvPr id="2" name="Rectangle 56"/>
        <xdr:cNvSpPr>
          <a:spLocks noChangeArrowheads="1"/>
        </xdr:cNvSpPr>
      </xdr:nvSpPr>
      <xdr:spPr bwMode="auto">
        <a:xfrm>
          <a:off x="2390775" y="10172700"/>
          <a:ext cx="6696075" cy="209550"/>
        </a:xfrm>
        <a:prstGeom prst="rect">
          <a:avLst/>
        </a:prstGeom>
        <a:solidFill>
          <a:srgbClr val="D1D1D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62</xdr:row>
      <xdr:rowOff>114300</xdr:rowOff>
    </xdr:from>
    <xdr:to>
      <xdr:col>9</xdr:col>
      <xdr:colOff>552450</xdr:colOff>
      <xdr:row>64</xdr:row>
      <xdr:rowOff>0</xdr:rowOff>
    </xdr:to>
    <xdr:sp macro="" textlink="">
      <xdr:nvSpPr>
        <xdr:cNvPr id="2" name="Rectangle 56"/>
        <xdr:cNvSpPr>
          <a:spLocks noChangeArrowheads="1"/>
        </xdr:cNvSpPr>
      </xdr:nvSpPr>
      <xdr:spPr bwMode="auto">
        <a:xfrm>
          <a:off x="2381250" y="10172700"/>
          <a:ext cx="6276975" cy="209550"/>
        </a:xfrm>
        <a:prstGeom prst="rect">
          <a:avLst/>
        </a:prstGeom>
        <a:solidFill>
          <a:srgbClr val="D1D1D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190500</xdr:colOff>
      <xdr:row>62</xdr:row>
      <xdr:rowOff>114300</xdr:rowOff>
    </xdr:from>
    <xdr:to>
      <xdr:col>9</xdr:col>
      <xdr:colOff>552450</xdr:colOff>
      <xdr:row>64</xdr:row>
      <xdr:rowOff>0</xdr:rowOff>
    </xdr:to>
    <xdr:sp macro="" textlink="">
      <xdr:nvSpPr>
        <xdr:cNvPr id="3" name="Rectangle 56"/>
        <xdr:cNvSpPr>
          <a:spLocks noChangeArrowheads="1"/>
        </xdr:cNvSpPr>
      </xdr:nvSpPr>
      <xdr:spPr bwMode="auto">
        <a:xfrm>
          <a:off x="2381250" y="10172700"/>
          <a:ext cx="6276975" cy="209550"/>
        </a:xfrm>
        <a:prstGeom prst="rect">
          <a:avLst/>
        </a:prstGeom>
        <a:solidFill>
          <a:srgbClr val="D1D1D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190500</xdr:colOff>
      <xdr:row>62</xdr:row>
      <xdr:rowOff>114300</xdr:rowOff>
    </xdr:from>
    <xdr:to>
      <xdr:col>9</xdr:col>
      <xdr:colOff>552450</xdr:colOff>
      <xdr:row>64</xdr:row>
      <xdr:rowOff>0</xdr:rowOff>
    </xdr:to>
    <xdr:sp macro="" textlink="">
      <xdr:nvSpPr>
        <xdr:cNvPr id="4" name="Rectangle 56"/>
        <xdr:cNvSpPr>
          <a:spLocks noChangeArrowheads="1"/>
        </xdr:cNvSpPr>
      </xdr:nvSpPr>
      <xdr:spPr bwMode="auto">
        <a:xfrm>
          <a:off x="2381250" y="10172700"/>
          <a:ext cx="6276975" cy="209550"/>
        </a:xfrm>
        <a:prstGeom prst="rect">
          <a:avLst/>
        </a:prstGeom>
        <a:solidFill>
          <a:srgbClr val="D1D1D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3"/>
  <sheetViews>
    <sheetView tabSelected="1" workbookViewId="0">
      <selection activeCell="A3" sqref="A3"/>
    </sheetView>
  </sheetViews>
  <sheetFormatPr defaultRowHeight="15" x14ac:dyDescent="0.25"/>
  <cols>
    <col min="1" max="1" width="18.42578125" style="134" customWidth="1"/>
    <col min="2" max="2" width="11" style="134" bestFit="1" customWidth="1"/>
    <col min="3" max="3" width="12" style="134" customWidth="1"/>
    <col min="4" max="4" width="11" style="134" bestFit="1" customWidth="1"/>
    <col min="5" max="5" width="11.42578125" style="134" customWidth="1"/>
    <col min="6" max="6" width="11" style="134" bestFit="1" customWidth="1"/>
    <col min="7" max="7" width="13.5703125" style="134" bestFit="1" customWidth="1"/>
    <col min="8" max="8" width="7.85546875" style="134" customWidth="1"/>
    <col min="9" max="9" width="16.5703125" style="134" customWidth="1"/>
    <col min="10" max="10" width="11.85546875" style="134" customWidth="1"/>
    <col min="11" max="11" width="9.140625" style="134"/>
    <col min="12" max="12" width="10.42578125" style="134" customWidth="1"/>
    <col min="13" max="13" width="9.5703125" style="134" customWidth="1"/>
    <col min="14" max="14" width="6.7109375" style="134" customWidth="1"/>
    <col min="15" max="15" width="7.28515625" style="134" customWidth="1"/>
    <col min="16" max="16" width="10.85546875" style="134" customWidth="1"/>
    <col min="17" max="16384" width="9.140625" style="134"/>
  </cols>
  <sheetData>
    <row r="1" spans="1:15" ht="15.75" x14ac:dyDescent="0.25">
      <c r="A1" s="288" t="s">
        <v>191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5" ht="14.25" customHeight="1" x14ac:dyDescent="0.25"/>
    <row r="3" spans="1:15" ht="14.25" customHeight="1" x14ac:dyDescent="0.25">
      <c r="A3" s="135" t="s">
        <v>198</v>
      </c>
      <c r="B3" s="136">
        <f>F18</f>
        <v>351644.12587500003</v>
      </c>
      <c r="C3" s="135" t="s">
        <v>193</v>
      </c>
      <c r="D3" s="135">
        <v>5</v>
      </c>
      <c r="G3" s="137" t="s">
        <v>194</v>
      </c>
      <c r="H3" s="137"/>
      <c r="I3" s="289" t="s">
        <v>132</v>
      </c>
      <c r="J3" s="290"/>
      <c r="L3" s="38"/>
      <c r="M3" s="38"/>
      <c r="N3" s="38"/>
      <c r="O3" s="38"/>
    </row>
    <row r="4" spans="1:15" ht="14.25" customHeight="1" x14ac:dyDescent="0.25">
      <c r="A4" s="135" t="s">
        <v>199</v>
      </c>
      <c r="B4" s="136">
        <f>E27</f>
        <v>126693.35</v>
      </c>
      <c r="C4" s="135" t="s">
        <v>196</v>
      </c>
      <c r="D4" s="135">
        <v>1</v>
      </c>
      <c r="G4" s="138" t="s">
        <v>197</v>
      </c>
      <c r="H4" s="137">
        <v>350</v>
      </c>
      <c r="I4" s="139" t="s">
        <v>60</v>
      </c>
      <c r="J4" s="140">
        <v>0.9</v>
      </c>
      <c r="L4" s="38"/>
      <c r="M4" s="38"/>
      <c r="N4" s="38"/>
      <c r="O4" s="38"/>
    </row>
    <row r="5" spans="1:15" ht="14.25" customHeight="1" x14ac:dyDescent="0.25">
      <c r="A5" s="135" t="s">
        <v>201</v>
      </c>
      <c r="B5" s="145">
        <f>B3-B4</f>
        <v>224950.77587500002</v>
      </c>
      <c r="C5" s="135" t="s">
        <v>22</v>
      </c>
      <c r="D5" s="135">
        <v>1500</v>
      </c>
      <c r="E5" s="141"/>
      <c r="G5" s="135" t="s">
        <v>312</v>
      </c>
      <c r="H5" s="137">
        <f>H4*J4</f>
        <v>315</v>
      </c>
      <c r="I5" s="135" t="s">
        <v>327</v>
      </c>
      <c r="J5" s="140">
        <v>0.03</v>
      </c>
      <c r="L5" s="38"/>
      <c r="M5" s="38"/>
      <c r="N5" s="143"/>
      <c r="O5" s="38"/>
    </row>
    <row r="6" spans="1:15" ht="14.25" customHeight="1" x14ac:dyDescent="0.25">
      <c r="A6" s="139" t="s">
        <v>5</v>
      </c>
      <c r="B6" s="136">
        <f>E36</f>
        <v>12337.096018538681</v>
      </c>
      <c r="C6" s="135" t="s">
        <v>202</v>
      </c>
      <c r="D6" s="136">
        <f>B7/D3</f>
        <v>42522.735971292263</v>
      </c>
      <c r="G6" s="137" t="s">
        <v>329</v>
      </c>
      <c r="H6" s="142">
        <f>H5</f>
        <v>315</v>
      </c>
      <c r="I6" s="144" t="s">
        <v>328</v>
      </c>
      <c r="J6" s="135">
        <v>3</v>
      </c>
      <c r="L6" s="38"/>
      <c r="M6" s="38"/>
      <c r="N6" s="143"/>
      <c r="O6" s="38"/>
    </row>
    <row r="7" spans="1:15" ht="14.25" customHeight="1" x14ac:dyDescent="0.25">
      <c r="A7" s="135" t="s">
        <v>195</v>
      </c>
      <c r="B7" s="136">
        <f>B5-B6</f>
        <v>212613.67985646133</v>
      </c>
      <c r="C7" s="135" t="s">
        <v>171</v>
      </c>
      <c r="D7" s="136">
        <f>B7/D5</f>
        <v>141.74245323764089</v>
      </c>
      <c r="G7" s="138" t="s">
        <v>200</v>
      </c>
      <c r="H7" s="135">
        <f>H6*(1-J$5)</f>
        <v>305.55</v>
      </c>
      <c r="L7" s="38"/>
      <c r="M7" s="38"/>
      <c r="N7" s="143"/>
      <c r="O7" s="38"/>
    </row>
    <row r="8" spans="1:15" ht="14.25" customHeight="1" x14ac:dyDescent="0.25">
      <c r="A8" s="135" t="s">
        <v>192</v>
      </c>
      <c r="B8" s="136">
        <f>B7-B11</f>
        <v>187913.67985646133</v>
      </c>
      <c r="C8" s="135" t="s">
        <v>331</v>
      </c>
      <c r="D8" s="136">
        <f>B8/D4</f>
        <v>187913.67985646133</v>
      </c>
      <c r="G8" s="146" t="s">
        <v>203</v>
      </c>
      <c r="H8" s="135">
        <f>(H7*(1-J$5))</f>
        <v>296.38350000000003</v>
      </c>
      <c r="L8" s="38"/>
      <c r="M8" s="38"/>
      <c r="N8" s="143"/>
      <c r="O8" s="38"/>
    </row>
    <row r="9" spans="1:15" ht="14.25" customHeight="1" x14ac:dyDescent="0.25">
      <c r="G9" s="137" t="s">
        <v>204</v>
      </c>
      <c r="H9" s="135">
        <f>(H8*(1-J$5)-(H4*(J5)))/2</f>
        <v>138.49599750000002</v>
      </c>
      <c r="L9" s="38"/>
      <c r="M9" s="38"/>
      <c r="N9" s="143"/>
      <c r="O9" s="38"/>
    </row>
    <row r="10" spans="1:15" ht="14.25" customHeight="1" x14ac:dyDescent="0.25">
      <c r="G10" s="138" t="s">
        <v>194</v>
      </c>
      <c r="H10" s="137">
        <f>SUM(H4:H8)-H5</f>
        <v>1266.9335000000001</v>
      </c>
      <c r="L10" s="38"/>
      <c r="M10" s="38"/>
      <c r="N10" s="143"/>
      <c r="O10" s="38"/>
    </row>
    <row r="11" spans="1:15" ht="14.25" customHeight="1" x14ac:dyDescent="0.25">
      <c r="A11" s="135" t="s">
        <v>206</v>
      </c>
      <c r="B11" s="135">
        <f>D3*380*13</f>
        <v>24700</v>
      </c>
      <c r="G11" s="137" t="s">
        <v>205</v>
      </c>
      <c r="H11" s="137">
        <f>H10/D5</f>
        <v>0.84462233333333336</v>
      </c>
      <c r="L11" s="38"/>
      <c r="M11" s="38"/>
      <c r="N11" s="38"/>
      <c r="O11" s="38"/>
    </row>
    <row r="12" spans="1:15" ht="14.25" customHeight="1" x14ac:dyDescent="0.25">
      <c r="L12" s="38"/>
      <c r="M12" s="38"/>
      <c r="N12" s="38"/>
      <c r="O12" s="38"/>
    </row>
    <row r="13" spans="1:15" ht="14.25" customHeight="1" x14ac:dyDescent="0.25">
      <c r="A13" s="291" t="s">
        <v>207</v>
      </c>
      <c r="B13" s="292"/>
      <c r="C13" s="292"/>
      <c r="D13" s="292"/>
      <c r="E13" s="292"/>
      <c r="F13" s="293"/>
      <c r="L13" s="38"/>
      <c r="M13" s="38"/>
      <c r="N13" s="143"/>
      <c r="O13" s="38"/>
    </row>
    <row r="14" spans="1:15" ht="14.25" customHeight="1" x14ac:dyDescent="0.25">
      <c r="A14" s="135"/>
      <c r="B14" s="138" t="s">
        <v>208</v>
      </c>
      <c r="C14" s="138" t="s">
        <v>209</v>
      </c>
      <c r="D14" s="137" t="s">
        <v>89</v>
      </c>
      <c r="E14" s="137" t="s">
        <v>210</v>
      </c>
      <c r="F14" s="137" t="s">
        <v>198</v>
      </c>
      <c r="O14" s="38"/>
    </row>
    <row r="15" spans="1:15" ht="14.25" customHeight="1" x14ac:dyDescent="0.25">
      <c r="A15" s="139" t="s">
        <v>311</v>
      </c>
      <c r="B15" s="142">
        <f>H8-H9</f>
        <v>157.88750250000001</v>
      </c>
      <c r="C15" s="137">
        <v>450</v>
      </c>
      <c r="D15" s="137">
        <f>B15*C15</f>
        <v>71049.37612500001</v>
      </c>
      <c r="E15" s="137">
        <v>3</v>
      </c>
      <c r="F15" s="147">
        <f>D15*E15</f>
        <v>213148.12837500003</v>
      </c>
      <c r="O15" s="38"/>
    </row>
    <row r="16" spans="1:15" x14ac:dyDescent="0.25">
      <c r="A16" s="148" t="s">
        <v>79</v>
      </c>
      <c r="B16" s="142">
        <f>H9</f>
        <v>138.49599750000002</v>
      </c>
      <c r="C16" s="137">
        <v>400</v>
      </c>
      <c r="D16" s="137">
        <f>B16*C16</f>
        <v>55398.399000000005</v>
      </c>
      <c r="E16" s="137">
        <v>2.5</v>
      </c>
      <c r="F16" s="147">
        <f>D16*E16</f>
        <v>138495.9975</v>
      </c>
      <c r="G16" s="294"/>
      <c r="H16" s="294"/>
      <c r="I16" s="294"/>
      <c r="J16" s="294"/>
      <c r="K16" s="38"/>
      <c r="L16" s="38"/>
      <c r="M16" s="38"/>
      <c r="N16" s="143"/>
      <c r="O16" s="38"/>
    </row>
    <row r="17" spans="1:16" x14ac:dyDescent="0.25">
      <c r="A17" s="135"/>
      <c r="B17" s="137"/>
      <c r="C17" s="137"/>
      <c r="D17" s="137"/>
      <c r="E17" s="150"/>
      <c r="F17" s="157"/>
      <c r="G17" s="38"/>
      <c r="H17" s="143"/>
      <c r="I17" s="143"/>
      <c r="J17" s="143"/>
      <c r="K17" s="143"/>
      <c r="L17" s="151"/>
      <c r="M17" s="38"/>
      <c r="N17" s="38"/>
      <c r="O17" s="38"/>
      <c r="P17" s="38"/>
    </row>
    <row r="18" spans="1:16" ht="13.5" customHeight="1" x14ac:dyDescent="0.25">
      <c r="A18" s="135" t="s">
        <v>4</v>
      </c>
      <c r="B18" s="149"/>
      <c r="C18" s="137"/>
      <c r="D18" s="137"/>
      <c r="E18" s="137"/>
      <c r="F18" s="147">
        <f>SUM(F15:F17)</f>
        <v>351644.12587500003</v>
      </c>
      <c r="G18" s="152"/>
      <c r="H18" s="143"/>
      <c r="I18" s="143"/>
      <c r="J18" s="143"/>
      <c r="K18" s="143"/>
      <c r="L18" s="151"/>
      <c r="O18" s="38"/>
      <c r="P18" s="38"/>
    </row>
    <row r="19" spans="1:16" x14ac:dyDescent="0.25">
      <c r="A19" s="38"/>
      <c r="B19" s="38"/>
      <c r="C19" s="38"/>
      <c r="D19" s="38"/>
      <c r="E19" s="153"/>
      <c r="F19" s="154"/>
      <c r="G19" s="38"/>
      <c r="H19" s="143"/>
      <c r="I19" s="143"/>
      <c r="J19" s="143"/>
      <c r="K19" s="143"/>
      <c r="L19" s="151"/>
      <c r="O19" s="38"/>
      <c r="P19" s="38"/>
    </row>
    <row r="20" spans="1:16" x14ac:dyDescent="0.25">
      <c r="G20" s="38"/>
      <c r="H20" s="143"/>
      <c r="I20" s="143"/>
      <c r="J20" s="143"/>
      <c r="K20" s="143"/>
      <c r="L20" s="151"/>
      <c r="O20" s="38"/>
      <c r="P20" s="143"/>
    </row>
    <row r="21" spans="1:16" x14ac:dyDescent="0.25">
      <c r="A21" s="295" t="s">
        <v>211</v>
      </c>
      <c r="B21" s="295"/>
      <c r="C21" s="295"/>
      <c r="D21" s="295"/>
      <c r="E21" s="295"/>
      <c r="G21" s="38"/>
      <c r="H21" s="143"/>
      <c r="I21" s="143"/>
      <c r="J21" s="143"/>
      <c r="K21" s="143"/>
      <c r="L21" s="151"/>
      <c r="O21" s="38"/>
      <c r="P21" s="143"/>
    </row>
    <row r="22" spans="1:16" x14ac:dyDescent="0.25">
      <c r="G22" s="38"/>
      <c r="H22" s="38"/>
      <c r="I22" s="38"/>
      <c r="J22" s="38"/>
      <c r="K22" s="38"/>
      <c r="L22" s="155"/>
      <c r="O22" s="38"/>
      <c r="P22" s="143"/>
    </row>
    <row r="23" spans="1:16" x14ac:dyDescent="0.25">
      <c r="A23" s="291"/>
      <c r="B23" s="292"/>
      <c r="C23" s="292"/>
      <c r="D23" s="292"/>
      <c r="E23" s="293"/>
      <c r="O23" s="38"/>
      <c r="P23" s="143"/>
    </row>
    <row r="24" spans="1:16" x14ac:dyDescent="0.25">
      <c r="A24" s="135"/>
      <c r="B24" s="137" t="s">
        <v>212</v>
      </c>
      <c r="C24" s="137" t="s">
        <v>3</v>
      </c>
      <c r="D24" s="137" t="s">
        <v>213</v>
      </c>
      <c r="E24" s="137" t="s">
        <v>4</v>
      </c>
      <c r="O24" s="38"/>
      <c r="P24" s="143"/>
    </row>
    <row r="25" spans="1:16" x14ac:dyDescent="0.25">
      <c r="A25" s="135" t="s">
        <v>214</v>
      </c>
      <c r="B25" s="138" t="s">
        <v>215</v>
      </c>
      <c r="C25" s="156">
        <f>H10</f>
        <v>1266.9335000000001</v>
      </c>
      <c r="D25" s="157">
        <v>100</v>
      </c>
      <c r="E25" s="157">
        <f>C25*D25</f>
        <v>126693.35</v>
      </c>
      <c r="O25" s="38"/>
      <c r="P25" s="143"/>
    </row>
    <row r="26" spans="1:16" x14ac:dyDescent="0.25">
      <c r="A26" s="135"/>
      <c r="B26" s="138"/>
      <c r="C26" s="156"/>
      <c r="D26" s="157"/>
      <c r="E26" s="158"/>
    </row>
    <row r="27" spans="1:16" x14ac:dyDescent="0.25">
      <c r="A27" s="159" t="s">
        <v>4</v>
      </c>
      <c r="B27" s="139"/>
      <c r="C27" s="156"/>
      <c r="D27" s="148"/>
      <c r="E27" s="145">
        <f>SUM(E25:E26)</f>
        <v>126693.35</v>
      </c>
    </row>
    <row r="30" spans="1:16" x14ac:dyDescent="0.25">
      <c r="A30" s="160" t="s">
        <v>216</v>
      </c>
      <c r="B30" s="161"/>
      <c r="C30" s="162"/>
      <c r="D30" s="38"/>
      <c r="E30" s="163"/>
    </row>
    <row r="31" spans="1:16" x14ac:dyDescent="0.25">
      <c r="A31" s="159"/>
      <c r="B31" s="138" t="s">
        <v>217</v>
      </c>
      <c r="C31" s="138" t="s">
        <v>218</v>
      </c>
      <c r="D31" s="138" t="s">
        <v>219</v>
      </c>
      <c r="E31" s="157" t="s">
        <v>220</v>
      </c>
      <c r="F31" s="267"/>
      <c r="H31" s="38"/>
      <c r="I31" s="143"/>
      <c r="J31" s="143"/>
      <c r="K31" s="143"/>
      <c r="L31" s="164"/>
    </row>
    <row r="32" spans="1:16" x14ac:dyDescent="0.25">
      <c r="A32" s="139" t="s">
        <v>221</v>
      </c>
      <c r="B32" s="138">
        <v>20000</v>
      </c>
      <c r="C32" s="165">
        <v>0.1</v>
      </c>
      <c r="D32" s="157">
        <v>20</v>
      </c>
      <c r="E32" s="157">
        <f>(B32-B32*C32)/D32</f>
        <v>900</v>
      </c>
      <c r="F32" s="268"/>
      <c r="H32" s="163"/>
      <c r="I32" s="38"/>
      <c r="J32" s="38"/>
      <c r="K32" s="38"/>
      <c r="L32" s="38"/>
    </row>
    <row r="33" spans="1:12" x14ac:dyDescent="0.25">
      <c r="A33" s="139" t="s">
        <v>222</v>
      </c>
      <c r="B33" s="138">
        <f>F33</f>
        <v>61967.733539318673</v>
      </c>
      <c r="C33" s="165">
        <v>0.1</v>
      </c>
      <c r="D33" s="157">
        <v>10</v>
      </c>
      <c r="E33" s="157">
        <f>(B33-B33*C33)/D33</f>
        <v>5577.0960185386812</v>
      </c>
      <c r="F33" s="138">
        <f>(D5*10000)^0.5*4*4</f>
        <v>61967.733539318673</v>
      </c>
      <c r="G33" s="141" t="s">
        <v>310</v>
      </c>
      <c r="H33" s="287"/>
      <c r="I33" s="287"/>
      <c r="J33" s="287"/>
      <c r="K33" s="287"/>
      <c r="L33" s="287"/>
    </row>
    <row r="34" spans="1:12" x14ac:dyDescent="0.25">
      <c r="A34" s="139" t="s">
        <v>223</v>
      </c>
      <c r="B34" s="138">
        <f>100000</f>
        <v>100000</v>
      </c>
      <c r="C34" s="165">
        <v>0.1</v>
      </c>
      <c r="D34" s="157">
        <v>20</v>
      </c>
      <c r="E34" s="157">
        <f>(B34-B34*C34)/D34</f>
        <v>4500</v>
      </c>
      <c r="F34" s="267"/>
      <c r="H34" s="38"/>
      <c r="I34" s="38"/>
      <c r="J34" s="143"/>
      <c r="K34" s="166"/>
      <c r="L34" s="164"/>
    </row>
    <row r="35" spans="1:12" x14ac:dyDescent="0.25">
      <c r="A35" s="139" t="s">
        <v>224</v>
      </c>
      <c r="B35" s="138">
        <v>40000</v>
      </c>
      <c r="C35" s="165">
        <v>0.15</v>
      </c>
      <c r="D35" s="157">
        <v>25</v>
      </c>
      <c r="E35" s="157">
        <f>(B35-B35*C35)/D35</f>
        <v>1360</v>
      </c>
      <c r="F35" s="143"/>
      <c r="H35" s="38"/>
      <c r="I35" s="38"/>
      <c r="J35" s="143"/>
      <c r="K35" s="166"/>
      <c r="L35" s="164"/>
    </row>
    <row r="36" spans="1:12" x14ac:dyDescent="0.25">
      <c r="A36" s="148" t="s">
        <v>4</v>
      </c>
      <c r="B36" s="167"/>
      <c r="C36" s="167"/>
      <c r="D36" s="269"/>
      <c r="E36" s="157">
        <f>SUM(E32:E35)</f>
        <v>12337.096018538681</v>
      </c>
      <c r="F36" s="143"/>
      <c r="H36" s="38"/>
      <c r="I36" s="38"/>
      <c r="J36" s="143"/>
      <c r="K36" s="166"/>
      <c r="L36" s="164"/>
    </row>
    <row r="37" spans="1:12" ht="15.75" x14ac:dyDescent="0.25">
      <c r="A37" s="168"/>
      <c r="D37" s="38"/>
      <c r="E37" s="38"/>
      <c r="F37" s="38"/>
      <c r="H37" s="38"/>
      <c r="I37" s="38"/>
      <c r="J37" s="143"/>
      <c r="K37" s="166"/>
      <c r="L37" s="164"/>
    </row>
    <row r="38" spans="1:12" ht="15.75" x14ac:dyDescent="0.25">
      <c r="A38" s="168"/>
      <c r="D38" s="38"/>
      <c r="E38" s="169"/>
      <c r="F38" s="38"/>
      <c r="H38" s="38"/>
      <c r="I38" s="38"/>
      <c r="J38" s="143"/>
      <c r="K38" s="166"/>
      <c r="L38" s="164"/>
    </row>
    <row r="39" spans="1:12" ht="15.75" x14ac:dyDescent="0.25">
      <c r="A39" s="168"/>
      <c r="H39" s="38"/>
      <c r="I39" s="38"/>
      <c r="J39" s="38"/>
      <c r="K39" s="38"/>
      <c r="L39" s="38"/>
    </row>
    <row r="40" spans="1:12" ht="15.75" x14ac:dyDescent="0.25">
      <c r="A40" s="168"/>
    </row>
    <row r="41" spans="1:12" ht="15.75" x14ac:dyDescent="0.25">
      <c r="A41" s="168"/>
    </row>
    <row r="42" spans="1:12" ht="15.75" x14ac:dyDescent="0.25">
      <c r="A42" s="168"/>
    </row>
    <row r="43" spans="1:12" ht="15.75" x14ac:dyDescent="0.25">
      <c r="A43" s="168"/>
    </row>
    <row r="44" spans="1:12" ht="15.75" x14ac:dyDescent="0.25">
      <c r="A44" s="168"/>
    </row>
    <row r="83" ht="27.75" customHeight="1" x14ac:dyDescent="0.25"/>
    <row r="333" ht="12.75" customHeight="1" x14ac:dyDescent="0.25"/>
  </sheetData>
  <mergeCells count="7">
    <mergeCell ref="H33:L33"/>
    <mergeCell ref="A1:N1"/>
    <mergeCell ref="I3:J3"/>
    <mergeCell ref="A13:F13"/>
    <mergeCell ref="G16:J16"/>
    <mergeCell ref="A21:E21"/>
    <mergeCell ref="A23:E23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showGridLines="0" workbookViewId="0">
      <selection activeCell="C12" sqref="C12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15.140625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1" x14ac:dyDescent="0.25">
      <c r="B1" s="31" t="s">
        <v>156</v>
      </c>
    </row>
    <row r="2" spans="2:11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26952.059815183999</v>
      </c>
      <c r="J3" s="2" t="str">
        <f t="shared" si="1"/>
        <v>valor/Utf</v>
      </c>
      <c r="K3" s="50">
        <f t="shared" si="1"/>
        <v>8576.3760531399475</v>
      </c>
    </row>
    <row r="4" spans="2:11" ht="2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6237.6410422374347</v>
      </c>
      <c r="J4" s="2" t="str">
        <f t="shared" si="1"/>
        <v>VA/SAU</v>
      </c>
      <c r="K4" s="50">
        <f t="shared" si="1"/>
        <v>1715.2752106279895</v>
      </c>
    </row>
    <row r="5" spans="2:11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20714.418772946563</v>
      </c>
      <c r="J5" s="2" t="str">
        <f t="shared" si="1"/>
        <v>RA/UTf</v>
      </c>
      <c r="K5" s="50">
        <f t="shared" si="1"/>
        <v>8265.5773652653315</v>
      </c>
    </row>
    <row r="6" spans="2:11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1" x14ac:dyDescent="0.25">
      <c r="B7" s="38"/>
      <c r="H7" s="2" t="str">
        <f t="shared" si="0"/>
        <v>valor agregado</v>
      </c>
      <c r="I7" s="44">
        <f>C89</f>
        <v>17152.752106279895</v>
      </c>
    </row>
    <row r="8" spans="2:11" ht="18.75" x14ac:dyDescent="0.3">
      <c r="B8" s="74" t="s">
        <v>57</v>
      </c>
      <c r="H8" s="2" t="str">
        <f t="shared" si="0"/>
        <v>RA</v>
      </c>
      <c r="I8" s="44">
        <f>C90</f>
        <v>16531.154730530663</v>
      </c>
    </row>
    <row r="9" spans="2:1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x14ac:dyDescent="0.25">
      <c r="B10" s="2" t="s">
        <v>23</v>
      </c>
      <c r="C10" s="42">
        <v>0.5</v>
      </c>
      <c r="D10" s="42">
        <f>800*C10</f>
        <v>400</v>
      </c>
      <c r="E10" s="46">
        <v>3.5</v>
      </c>
      <c r="F10" s="58">
        <f>D10*E10</f>
        <v>1400</v>
      </c>
      <c r="G10" s="54">
        <f t="shared" ref="G10:G13" si="2">(F10)*2.3%</f>
        <v>32.200000000000003</v>
      </c>
      <c r="H10" s="3"/>
      <c r="I10" s="3"/>
    </row>
    <row r="11" spans="2:11" x14ac:dyDescent="0.25">
      <c r="B11" s="2" t="s">
        <v>24</v>
      </c>
      <c r="C11" s="42">
        <v>2.5</v>
      </c>
      <c r="D11" s="42">
        <f>1000*C11</f>
        <v>2500</v>
      </c>
      <c r="E11" s="46">
        <v>3</v>
      </c>
      <c r="F11" s="58">
        <f>E11*D11</f>
        <v>7500</v>
      </c>
      <c r="G11" s="54">
        <f t="shared" si="2"/>
        <v>172.5</v>
      </c>
      <c r="H11" s="3"/>
      <c r="I11" s="3"/>
    </row>
    <row r="12" spans="2:11" x14ac:dyDescent="0.25">
      <c r="B12" s="2" t="s">
        <v>25</v>
      </c>
      <c r="C12" s="42">
        <f>I21/I22</f>
        <v>5.6809329826153832</v>
      </c>
      <c r="D12" s="42">
        <f>F19</f>
        <v>19940.074768979997</v>
      </c>
      <c r="E12" s="46">
        <v>0.8</v>
      </c>
      <c r="F12" s="58">
        <f t="shared" ref="F12:F14" si="3">E12*D12</f>
        <v>15952.059815183999</v>
      </c>
      <c r="G12" s="54">
        <f t="shared" si="2"/>
        <v>366.89737574923197</v>
      </c>
      <c r="H12" s="3"/>
      <c r="I12" s="3"/>
    </row>
    <row r="13" spans="2:11" x14ac:dyDescent="0.25">
      <c r="B13" s="2" t="s">
        <v>88</v>
      </c>
      <c r="C13" s="42">
        <f>C12</f>
        <v>5.6809329826153832</v>
      </c>
      <c r="D13" s="42">
        <f>E22</f>
        <v>0</v>
      </c>
      <c r="E13" s="46">
        <f>F22</f>
        <v>5</v>
      </c>
      <c r="F13" s="58">
        <f t="shared" si="3"/>
        <v>0</v>
      </c>
      <c r="G13" s="54">
        <f t="shared" si="2"/>
        <v>0</v>
      </c>
      <c r="H13" s="3"/>
      <c r="I13" s="3"/>
      <c r="J13" s="3"/>
    </row>
    <row r="14" spans="2:1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x14ac:dyDescent="0.25">
      <c r="B15" s="5" t="s">
        <v>4</v>
      </c>
      <c r="C15" s="42">
        <f>C10+C11+C12+C14</f>
        <v>9.6809329826153832</v>
      </c>
      <c r="F15" s="59">
        <f>SUM(F10:F14)</f>
        <v>26952.059815183999</v>
      </c>
      <c r="G15" s="46">
        <f>SUM(G10:G13)</f>
        <v>571.59737574923201</v>
      </c>
      <c r="I15" s="3"/>
      <c r="J15" s="3"/>
    </row>
    <row r="16" spans="2:11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5.6809329826153832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49">
        <f>'Evolução reb'!H11</f>
        <v>7.3852128773999981</v>
      </c>
      <c r="D19" s="42">
        <f>'A1'!D19</f>
        <v>9</v>
      </c>
      <c r="E19" s="42">
        <f>C19*D19</f>
        <v>66.466915896599986</v>
      </c>
      <c r="F19" s="43">
        <f>E19*300</f>
        <v>19940.074768979997</v>
      </c>
      <c r="G19" s="46">
        <f>0.8</f>
        <v>0.8</v>
      </c>
      <c r="H19" s="52">
        <f>F19*G19</f>
        <v>15952.059815183999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reb'!H10</f>
        <v>9.2315160967499974</v>
      </c>
    </row>
    <row r="22" spans="2:9" x14ac:dyDescent="0.25">
      <c r="B22" s="5" t="s">
        <v>79</v>
      </c>
      <c r="C22" s="49">
        <f>'Evolução reb'!H15</f>
        <v>0</v>
      </c>
      <c r="D22" s="42">
        <v>400</v>
      </c>
      <c r="E22" s="42">
        <f>C22*D22</f>
        <v>0</v>
      </c>
      <c r="F22" s="43">
        <v>5</v>
      </c>
      <c r="G22" s="46">
        <f>F22*E22</f>
        <v>0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0.5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1.5</v>
      </c>
      <c r="D29" s="48" t="s">
        <v>160</v>
      </c>
      <c r="E29" s="30">
        <v>30</v>
      </c>
      <c r="F29" s="72">
        <f>C29*E29</f>
        <v>45</v>
      </c>
      <c r="G29" s="3"/>
    </row>
    <row r="30" spans="2:9" x14ac:dyDescent="0.25">
      <c r="B30" s="19" t="s">
        <v>104</v>
      </c>
      <c r="C30" s="53">
        <f>C34</f>
        <v>50</v>
      </c>
      <c r="D30" s="48" t="s">
        <v>8</v>
      </c>
      <c r="E30" s="30">
        <f>23/60</f>
        <v>0.38333333333333336</v>
      </c>
      <c r="F30" s="72">
        <f>C30*E30</f>
        <v>19.166666666666668</v>
      </c>
      <c r="G30" s="3"/>
    </row>
    <row r="31" spans="2:9" x14ac:dyDescent="0.25">
      <c r="B31" s="19" t="s">
        <v>105</v>
      </c>
      <c r="C31" s="53">
        <f>15*E27</f>
        <v>7.5</v>
      </c>
      <c r="D31" s="48" t="s">
        <v>8</v>
      </c>
      <c r="E31" s="30">
        <f>10</f>
        <v>10</v>
      </c>
      <c r="F31" s="72">
        <f>C31*E31</f>
        <v>75</v>
      </c>
      <c r="G31" s="3"/>
    </row>
    <row r="32" spans="2:9" x14ac:dyDescent="0.25">
      <c r="B32" s="19" t="s">
        <v>6</v>
      </c>
      <c r="C32" s="70">
        <f>50*2*E27</f>
        <v>50</v>
      </c>
      <c r="D32" s="48" t="s">
        <v>8</v>
      </c>
      <c r="E32" s="16">
        <v>0.4</v>
      </c>
      <c r="F32" s="72">
        <f t="shared" ref="F32:F33" si="4">C32*E32</f>
        <v>20</v>
      </c>
      <c r="G32" s="3"/>
    </row>
    <row r="33" spans="2:7" x14ac:dyDescent="0.25">
      <c r="B33" s="19" t="s">
        <v>34</v>
      </c>
      <c r="C33" s="70">
        <f>100*E27</f>
        <v>50</v>
      </c>
      <c r="D33" s="42" t="s">
        <v>8</v>
      </c>
      <c r="E33" s="17">
        <v>0.61</v>
      </c>
      <c r="F33" s="72">
        <f t="shared" si="4"/>
        <v>30.5</v>
      </c>
      <c r="G33" s="3"/>
    </row>
    <row r="34" spans="2:7" x14ac:dyDescent="0.25">
      <c r="B34" s="19" t="s">
        <v>44</v>
      </c>
      <c r="C34" s="48">
        <f>D10/8</f>
        <v>50</v>
      </c>
      <c r="D34" s="48" t="s">
        <v>8</v>
      </c>
      <c r="E34" s="30">
        <v>1.2</v>
      </c>
      <c r="F34" s="72">
        <f>C34*E34</f>
        <v>60</v>
      </c>
      <c r="G34" s="3"/>
    </row>
    <row r="35" spans="2:7" x14ac:dyDescent="0.25">
      <c r="B35" s="19" t="s">
        <v>45</v>
      </c>
      <c r="C35" s="48">
        <f>12/2.5*E27</f>
        <v>2.4</v>
      </c>
      <c r="D35" s="48" t="s">
        <v>33</v>
      </c>
      <c r="E35" s="30">
        <v>97</v>
      </c>
      <c r="F35" s="72">
        <f>C35*E35</f>
        <v>232.79999999999998</v>
      </c>
      <c r="G35" s="3"/>
    </row>
    <row r="36" spans="2:7" x14ac:dyDescent="0.25">
      <c r="B36" s="19" t="s">
        <v>48</v>
      </c>
      <c r="C36" s="48">
        <f>D10*1.1</f>
        <v>440.00000000000006</v>
      </c>
      <c r="D36" s="48" t="s">
        <v>26</v>
      </c>
      <c r="E36" s="30">
        <v>1</v>
      </c>
      <c r="F36" s="72">
        <f>C36*E36</f>
        <v>440.00000000000006</v>
      </c>
      <c r="G36" s="3"/>
    </row>
    <row r="37" spans="2:7" x14ac:dyDescent="0.25">
      <c r="B37" s="29"/>
      <c r="C37" s="15"/>
      <c r="D37" s="15"/>
      <c r="E37" s="30" t="s">
        <v>4</v>
      </c>
      <c r="F37" s="73">
        <f>SUM(F29:F36)</f>
        <v>922.4666666666667</v>
      </c>
      <c r="G37" s="3"/>
    </row>
    <row r="38" spans="2:7" x14ac:dyDescent="0.25">
      <c r="E38" s="23"/>
      <c r="G38" s="3"/>
    </row>
    <row r="39" spans="2:7" x14ac:dyDescent="0.25">
      <c r="B39" s="18" t="s">
        <v>91</v>
      </c>
      <c r="E39" s="23"/>
      <c r="G39" s="3"/>
    </row>
    <row r="40" spans="2:7" x14ac:dyDescent="0.25">
      <c r="B40" s="19" t="s">
        <v>27</v>
      </c>
      <c r="C40" s="13" t="s">
        <v>92</v>
      </c>
      <c r="D40" s="13" t="s">
        <v>39</v>
      </c>
      <c r="E40" s="24">
        <f>C12</f>
        <v>5.6809329826153832</v>
      </c>
      <c r="F40" s="5"/>
      <c r="G40" s="3"/>
    </row>
    <row r="41" spans="2:7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7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511.28396843538451</v>
      </c>
      <c r="G42" s="3"/>
    </row>
    <row r="43" spans="2:7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272.68478316553842</v>
      </c>
      <c r="G43" s="3"/>
    </row>
    <row r="44" spans="2:7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766.92595265307671</v>
      </c>
      <c r="G44" s="3"/>
    </row>
    <row r="45" spans="2:7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346.53691193953836</v>
      </c>
      <c r="G45" s="3"/>
    </row>
    <row r="46" spans="2:7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340.85597895692297</v>
      </c>
      <c r="G46" s="3"/>
    </row>
    <row r="47" spans="2:7" x14ac:dyDescent="0.25">
      <c r="B47" s="18"/>
      <c r="C47" s="3"/>
      <c r="D47" s="3"/>
      <c r="E47" s="25"/>
      <c r="F47" s="64">
        <f>SUM(F42:F46)</f>
        <v>2238.2875951504611</v>
      </c>
      <c r="G47" s="3"/>
    </row>
    <row r="48" spans="2:7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5.6809329826153832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681.71195791384594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340.85597895692297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766.92595265307671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346.53691193953836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340.85597895692297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2476.8867804203069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2.5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300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300</v>
      </c>
    </row>
    <row r="62" spans="2:8" s="3" customFormat="1" x14ac:dyDescent="0.25">
      <c r="B62" s="18"/>
      <c r="E62" s="25"/>
      <c r="F62" s="64">
        <f>SUM(F60:F61)</f>
        <v>600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571.59737574923201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621.59737574923201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26952.059815183999</v>
      </c>
      <c r="D85" s="2" t="s">
        <v>17</v>
      </c>
      <c r="E85" s="9">
        <f>C89/C6</f>
        <v>8576.3760531399475</v>
      </c>
      <c r="I85" s="33"/>
    </row>
    <row r="86" spans="2:9" x14ac:dyDescent="0.25">
      <c r="B86" s="2" t="s">
        <v>21</v>
      </c>
      <c r="C86" s="9">
        <f>F37+F47+F56+F62</f>
        <v>6237.6410422374347</v>
      </c>
      <c r="D86" s="2" t="s">
        <v>18</v>
      </c>
      <c r="E86" s="9">
        <f>C89/C5</f>
        <v>1715.2752106279895</v>
      </c>
    </row>
    <row r="87" spans="2:9" x14ac:dyDescent="0.25">
      <c r="B87" s="2" t="s">
        <v>55</v>
      </c>
      <c r="C87" s="6">
        <f>C85-C86</f>
        <v>20714.418772946563</v>
      </c>
      <c r="D87" s="2" t="s">
        <v>19</v>
      </c>
      <c r="E87" s="9">
        <f>C90/C6</f>
        <v>8265.5773652653315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17152.752106279895</v>
      </c>
    </row>
    <row r="90" spans="2:9" x14ac:dyDescent="0.25">
      <c r="B90" s="5" t="s">
        <v>16</v>
      </c>
      <c r="C90" s="9">
        <f>C89-F82</f>
        <v>16531.154730530663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showGridLines="0" workbookViewId="0">
      <selection activeCell="C12" sqref="C12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15.140625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1" x14ac:dyDescent="0.25">
      <c r="B1" s="31" t="s">
        <v>157</v>
      </c>
    </row>
    <row r="2" spans="2:11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28724.199192408138</v>
      </c>
      <c r="J3" s="2" t="str">
        <f t="shared" si="1"/>
        <v>valor/Utf</v>
      </c>
      <c r="K3" s="50">
        <f t="shared" si="1"/>
        <v>9074.5807207713642</v>
      </c>
    </row>
    <row r="4" spans="2:11" ht="2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7013.3710841987422</v>
      </c>
      <c r="J4" s="2" t="str">
        <f t="shared" si="1"/>
        <v>VA/SAU</v>
      </c>
      <c r="K4" s="50">
        <f t="shared" si="1"/>
        <v>1814.9161441542728</v>
      </c>
    </row>
    <row r="5" spans="2:11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21710.828108209396</v>
      </c>
      <c r="J5" s="2" t="str">
        <f t="shared" si="1"/>
        <v>RA/UTf</v>
      </c>
      <c r="K5" s="50">
        <f t="shared" si="1"/>
        <v>8743.4024300586698</v>
      </c>
    </row>
    <row r="6" spans="2:11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1" x14ac:dyDescent="0.25">
      <c r="B7" s="38"/>
      <c r="H7" s="2" t="str">
        <f t="shared" si="0"/>
        <v>valor agregado</v>
      </c>
      <c r="I7" s="44">
        <f>C89</f>
        <v>18149.161441542728</v>
      </c>
    </row>
    <row r="8" spans="2:11" ht="18.75" x14ac:dyDescent="0.3">
      <c r="B8" s="74" t="s">
        <v>57</v>
      </c>
      <c r="H8" s="2" t="str">
        <f t="shared" si="0"/>
        <v>RA</v>
      </c>
      <c r="I8" s="44">
        <f>C90</f>
        <v>17486.80486011734</v>
      </c>
    </row>
    <row r="9" spans="2:1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x14ac:dyDescent="0.25">
      <c r="B10" s="2" t="s">
        <v>23</v>
      </c>
      <c r="C10" s="42">
        <v>0.5</v>
      </c>
      <c r="D10" s="42">
        <f>800*C10</f>
        <v>400</v>
      </c>
      <c r="E10" s="46">
        <v>3.5</v>
      </c>
      <c r="F10" s="58">
        <f>D10*E10</f>
        <v>1400</v>
      </c>
      <c r="G10" s="54">
        <f t="shared" ref="G10:G13" si="2">(F10)*2.3%</f>
        <v>32.200000000000003</v>
      </c>
      <c r="H10" s="3"/>
      <c r="I10" s="3"/>
    </row>
    <row r="11" spans="2:11" x14ac:dyDescent="0.25">
      <c r="B11" s="2" t="s">
        <v>24</v>
      </c>
      <c r="C11" s="42">
        <v>1</v>
      </c>
      <c r="D11" s="42">
        <f>1000*C11</f>
        <v>1000</v>
      </c>
      <c r="E11" s="46">
        <v>3</v>
      </c>
      <c r="F11" s="58">
        <f>E11*D11</f>
        <v>3000</v>
      </c>
      <c r="G11" s="54">
        <f t="shared" si="2"/>
        <v>69</v>
      </c>
      <c r="H11" s="3"/>
      <c r="I11" s="3"/>
    </row>
    <row r="12" spans="2:11" x14ac:dyDescent="0.25">
      <c r="B12" s="2" t="s">
        <v>25</v>
      </c>
      <c r="C12" s="42">
        <f>I21/I22</f>
        <v>7.0492824307615365</v>
      </c>
      <c r="D12" s="42">
        <f>F19</f>
        <v>24742.981331972995</v>
      </c>
      <c r="E12" s="46">
        <v>0.8</v>
      </c>
      <c r="F12" s="58">
        <f t="shared" ref="F12:F14" si="3">E12*D12</f>
        <v>19794.385065578397</v>
      </c>
      <c r="G12" s="54">
        <f t="shared" si="2"/>
        <v>455.27085650830315</v>
      </c>
      <c r="H12" s="3"/>
      <c r="I12" s="3"/>
    </row>
    <row r="13" spans="2:11" x14ac:dyDescent="0.25">
      <c r="B13" s="2" t="s">
        <v>88</v>
      </c>
      <c r="C13" s="42">
        <f>C12</f>
        <v>7.0492824307615365</v>
      </c>
      <c r="D13" s="42">
        <f>E22</f>
        <v>485.96282536594799</v>
      </c>
      <c r="E13" s="46">
        <f>F22</f>
        <v>5</v>
      </c>
      <c r="F13" s="58">
        <f t="shared" si="3"/>
        <v>2429.81412682974</v>
      </c>
      <c r="G13" s="54">
        <f t="shared" si="2"/>
        <v>55.885724917084019</v>
      </c>
      <c r="H13" s="3"/>
      <c r="I13" s="3"/>
      <c r="J13" s="3"/>
    </row>
    <row r="14" spans="2:1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x14ac:dyDescent="0.25">
      <c r="B15" s="5" t="s">
        <v>4</v>
      </c>
      <c r="C15" s="42">
        <f>C10+C11+C12+C14</f>
        <v>9.5492824307615365</v>
      </c>
      <c r="F15" s="59">
        <f>SUM(F10:F14)</f>
        <v>28724.199192408138</v>
      </c>
      <c r="G15" s="46">
        <f>SUM(G10:G13)</f>
        <v>612.35658142538728</v>
      </c>
      <c r="I15" s="3"/>
      <c r="J15" s="3"/>
    </row>
    <row r="16" spans="2:11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7.0492824307615365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49">
        <f>'Evolução reb'!I11</f>
        <v>9.1640671599899974</v>
      </c>
      <c r="D19" s="42">
        <f>'A1'!D19</f>
        <v>9</v>
      </c>
      <c r="E19" s="42">
        <f>C19*D19</f>
        <v>82.476604439909977</v>
      </c>
      <c r="F19" s="43">
        <f>E19*300</f>
        <v>24742.981331972995</v>
      </c>
      <c r="G19" s="46">
        <f>0.8</f>
        <v>0.8</v>
      </c>
      <c r="H19" s="52">
        <f>F19*G19</f>
        <v>19794.385065578397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reb'!I10</f>
        <v>11.455083949987497</v>
      </c>
    </row>
    <row r="22" spans="2:9" x14ac:dyDescent="0.25">
      <c r="B22" s="5" t="s">
        <v>79</v>
      </c>
      <c r="C22" s="49">
        <f>'Evolução reb'!I15</f>
        <v>1.21490706341487</v>
      </c>
      <c r="D22" s="42">
        <v>400</v>
      </c>
      <c r="E22" s="42">
        <f>C22*D22</f>
        <v>485.96282536594799</v>
      </c>
      <c r="F22" s="43">
        <v>5</v>
      </c>
      <c r="G22" s="46">
        <f>F22*E22</f>
        <v>2429.81412682974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0.5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1.5</v>
      </c>
      <c r="D29" s="48" t="s">
        <v>160</v>
      </c>
      <c r="E29" s="30">
        <v>30</v>
      </c>
      <c r="F29" s="72">
        <f>C29*E29</f>
        <v>45</v>
      </c>
      <c r="G29" s="3"/>
    </row>
    <row r="30" spans="2:9" x14ac:dyDescent="0.25">
      <c r="B30" s="19" t="s">
        <v>104</v>
      </c>
      <c r="C30" s="53">
        <f>C34</f>
        <v>50</v>
      </c>
      <c r="D30" s="48" t="s">
        <v>8</v>
      </c>
      <c r="E30" s="30">
        <f>23/60</f>
        <v>0.38333333333333336</v>
      </c>
      <c r="F30" s="72">
        <f>C30*E30</f>
        <v>19.166666666666668</v>
      </c>
      <c r="G30" s="3"/>
    </row>
    <row r="31" spans="2:9" x14ac:dyDescent="0.25">
      <c r="B31" s="19" t="s">
        <v>105</v>
      </c>
      <c r="C31" s="53">
        <f>15*E27</f>
        <v>7.5</v>
      </c>
      <c r="D31" s="48" t="s">
        <v>8</v>
      </c>
      <c r="E31" s="30">
        <f>10</f>
        <v>10</v>
      </c>
      <c r="F31" s="72">
        <f>C31*E31</f>
        <v>75</v>
      </c>
      <c r="G31" s="3"/>
    </row>
    <row r="32" spans="2:9" x14ac:dyDescent="0.25">
      <c r="B32" s="19" t="s">
        <v>6</v>
      </c>
      <c r="C32" s="70">
        <f>50*2*E27</f>
        <v>50</v>
      </c>
      <c r="D32" s="48" t="s">
        <v>8</v>
      </c>
      <c r="E32" s="16">
        <v>0.4</v>
      </c>
      <c r="F32" s="72">
        <f t="shared" ref="F32:F33" si="4">C32*E32</f>
        <v>20</v>
      </c>
      <c r="G32" s="3"/>
    </row>
    <row r="33" spans="2:7" x14ac:dyDescent="0.25">
      <c r="B33" s="19" t="s">
        <v>34</v>
      </c>
      <c r="C33" s="70">
        <f>100*E27</f>
        <v>50</v>
      </c>
      <c r="D33" s="42" t="s">
        <v>8</v>
      </c>
      <c r="E33" s="17">
        <v>0.61</v>
      </c>
      <c r="F33" s="72">
        <f t="shared" si="4"/>
        <v>30.5</v>
      </c>
      <c r="G33" s="3"/>
    </row>
    <row r="34" spans="2:7" x14ac:dyDescent="0.25">
      <c r="B34" s="19" t="s">
        <v>44</v>
      </c>
      <c r="C34" s="48">
        <f>D10/8</f>
        <v>50</v>
      </c>
      <c r="D34" s="48" t="s">
        <v>8</v>
      </c>
      <c r="E34" s="30">
        <v>1.2</v>
      </c>
      <c r="F34" s="72">
        <f>C34*E34</f>
        <v>60</v>
      </c>
      <c r="G34" s="3"/>
    </row>
    <row r="35" spans="2:7" x14ac:dyDescent="0.25">
      <c r="B35" s="19" t="s">
        <v>45</v>
      </c>
      <c r="C35" s="48">
        <f>12/2.5*E27</f>
        <v>2.4</v>
      </c>
      <c r="D35" s="48" t="s">
        <v>33</v>
      </c>
      <c r="E35" s="30">
        <v>97</v>
      </c>
      <c r="F35" s="72">
        <f>C35*E35</f>
        <v>232.79999999999998</v>
      </c>
      <c r="G35" s="3"/>
    </row>
    <row r="36" spans="2:7" x14ac:dyDescent="0.25">
      <c r="B36" s="19" t="s">
        <v>48</v>
      </c>
      <c r="C36" s="48">
        <f>D10*1.1</f>
        <v>440.00000000000006</v>
      </c>
      <c r="D36" s="48" t="s">
        <v>26</v>
      </c>
      <c r="E36" s="30">
        <v>1</v>
      </c>
      <c r="F36" s="72">
        <f>C36*E36</f>
        <v>440.00000000000006</v>
      </c>
      <c r="G36" s="3"/>
    </row>
    <row r="37" spans="2:7" x14ac:dyDescent="0.25">
      <c r="B37" s="29"/>
      <c r="C37" s="15"/>
      <c r="D37" s="15"/>
      <c r="E37" s="30" t="s">
        <v>4</v>
      </c>
      <c r="F37" s="73">
        <f>SUM(F29:F36)</f>
        <v>922.4666666666667</v>
      </c>
      <c r="G37" s="3"/>
    </row>
    <row r="38" spans="2:7" x14ac:dyDescent="0.25">
      <c r="E38" s="23"/>
      <c r="G38" s="3"/>
    </row>
    <row r="39" spans="2:7" x14ac:dyDescent="0.25">
      <c r="B39" s="18" t="s">
        <v>91</v>
      </c>
      <c r="E39" s="23"/>
      <c r="G39" s="3"/>
    </row>
    <row r="40" spans="2:7" x14ac:dyDescent="0.25">
      <c r="B40" s="19" t="s">
        <v>27</v>
      </c>
      <c r="C40" s="13" t="s">
        <v>92</v>
      </c>
      <c r="D40" s="13" t="s">
        <v>39</v>
      </c>
      <c r="E40" s="24">
        <f>C12</f>
        <v>7.0492824307615365</v>
      </c>
      <c r="F40" s="5"/>
      <c r="G40" s="3"/>
    </row>
    <row r="41" spans="2:7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7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634.43541876853828</v>
      </c>
      <c r="G42" s="3"/>
    </row>
    <row r="43" spans="2:7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338.36555667655375</v>
      </c>
      <c r="G43" s="3"/>
    </row>
    <row r="44" spans="2:7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951.65312815280743</v>
      </c>
      <c r="G44" s="3"/>
    </row>
    <row r="45" spans="2:7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430.00622827645373</v>
      </c>
      <c r="G45" s="3"/>
    </row>
    <row r="46" spans="2:7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422.95694584569219</v>
      </c>
      <c r="G46" s="3"/>
    </row>
    <row r="47" spans="2:7" x14ac:dyDescent="0.25">
      <c r="B47" s="18"/>
      <c r="C47" s="3"/>
      <c r="D47" s="3"/>
      <c r="E47" s="25"/>
      <c r="F47" s="64">
        <f>SUM(F42:F46)</f>
        <v>2777.4172777200456</v>
      </c>
      <c r="G47" s="3"/>
    </row>
    <row r="48" spans="2:7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7.0492824307615365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845.91389169138438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422.95694584569219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951.65312815280743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430.00622827645373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422.95694584569219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3073.4871398120299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1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120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120</v>
      </c>
    </row>
    <row r="62" spans="2:8" s="3" customFormat="1" x14ac:dyDescent="0.25">
      <c r="B62" s="18"/>
      <c r="E62" s="25"/>
      <c r="F62" s="64">
        <f>SUM(F60:F61)</f>
        <v>240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612.35658142538728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662.35658142538728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28724.199192408138</v>
      </c>
      <c r="D85" s="2" t="s">
        <v>17</v>
      </c>
      <c r="E85" s="9">
        <f>C89/C6</f>
        <v>9074.5807207713642</v>
      </c>
      <c r="I85" s="33"/>
    </row>
    <row r="86" spans="2:9" x14ac:dyDescent="0.25">
      <c r="B86" s="2" t="s">
        <v>21</v>
      </c>
      <c r="C86" s="9">
        <f>F37+F47+F56+F62</f>
        <v>7013.3710841987422</v>
      </c>
      <c r="D86" s="2" t="s">
        <v>18</v>
      </c>
      <c r="E86" s="9">
        <f>C89/C5</f>
        <v>1814.9161441542728</v>
      </c>
    </row>
    <row r="87" spans="2:9" x14ac:dyDescent="0.25">
      <c r="B87" s="2" t="s">
        <v>55</v>
      </c>
      <c r="C87" s="6">
        <f>C85-C86</f>
        <v>21710.828108209396</v>
      </c>
      <c r="D87" s="2" t="s">
        <v>19</v>
      </c>
      <c r="E87" s="9">
        <f>C90/C6</f>
        <v>8743.4024300586698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18149.161441542728</v>
      </c>
    </row>
    <row r="90" spans="2:9" x14ac:dyDescent="0.25">
      <c r="B90" s="5" t="s">
        <v>16</v>
      </c>
      <c r="C90" s="9">
        <f>C89-F82</f>
        <v>17486.80486011734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showGridLines="0" workbookViewId="0">
      <selection activeCell="B5" sqref="B5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15.140625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1" x14ac:dyDescent="0.25">
      <c r="B1" s="31" t="s">
        <v>326</v>
      </c>
    </row>
    <row r="2" spans="2:11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34434.570611890973</v>
      </c>
      <c r="J3" s="2" t="str">
        <f t="shared" si="1"/>
        <v>valor/Utf</v>
      </c>
      <c r="K3" s="50">
        <f t="shared" si="1"/>
        <v>11595.218639278819</v>
      </c>
    </row>
    <row r="4" spans="2:11" ht="2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7682.4666666666672</v>
      </c>
      <c r="J4" s="2" t="str">
        <f t="shared" si="1"/>
        <v>VA/SAU</v>
      </c>
      <c r="K4" s="50">
        <f t="shared" si="1"/>
        <v>2319.0437278557638</v>
      </c>
    </row>
    <row r="5" spans="2:11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26752.103945224306</v>
      </c>
      <c r="J5" s="2" t="str">
        <f t="shared" si="1"/>
        <v>RA/UTf</v>
      </c>
      <c r="K5" s="50">
        <f t="shared" si="1"/>
        <v>11198.371077242073</v>
      </c>
    </row>
    <row r="6" spans="2:11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1" x14ac:dyDescent="0.25">
      <c r="B7" s="38"/>
      <c r="H7" s="2" t="str">
        <f t="shared" si="0"/>
        <v>valor agregado</v>
      </c>
      <c r="I7" s="44">
        <f>C89</f>
        <v>23190.437278557638</v>
      </c>
    </row>
    <row r="8" spans="2:11" ht="18.75" x14ac:dyDescent="0.3">
      <c r="B8" s="74" t="s">
        <v>57</v>
      </c>
      <c r="H8" s="2" t="str">
        <f t="shared" si="0"/>
        <v>RA</v>
      </c>
      <c r="I8" s="44">
        <f>C90</f>
        <v>22396.742154484145</v>
      </c>
    </row>
    <row r="9" spans="2:1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x14ac:dyDescent="0.25">
      <c r="B10" s="2" t="s">
        <v>23</v>
      </c>
      <c r="C10" s="42">
        <v>0.5</v>
      </c>
      <c r="D10" s="42">
        <f>800*C10</f>
        <v>400</v>
      </c>
      <c r="E10" s="46">
        <v>3.5</v>
      </c>
      <c r="F10" s="58">
        <f>D10*E10</f>
        <v>1400</v>
      </c>
      <c r="G10" s="54">
        <f t="shared" ref="G10:G13" si="2">(F10)*2.3%</f>
        <v>32.200000000000003</v>
      </c>
      <c r="H10" s="3"/>
      <c r="I10" s="3"/>
    </row>
    <row r="11" spans="2:11" x14ac:dyDescent="0.25">
      <c r="B11" s="2" t="s">
        <v>24</v>
      </c>
      <c r="C11" s="42">
        <v>0.5</v>
      </c>
      <c r="D11" s="42">
        <f>1000*C11</f>
        <v>500</v>
      </c>
      <c r="E11" s="46">
        <v>3</v>
      </c>
      <c r="F11" s="58">
        <f>E11*D11</f>
        <v>1500</v>
      </c>
      <c r="G11" s="54">
        <f t="shared" si="2"/>
        <v>34.5</v>
      </c>
      <c r="H11" s="3"/>
      <c r="I11" s="3"/>
    </row>
    <row r="12" spans="2:11" x14ac:dyDescent="0.25">
      <c r="B12" s="2" t="s">
        <v>25</v>
      </c>
      <c r="C12" s="42">
        <f>I21/I22</f>
        <v>8</v>
      </c>
      <c r="D12" s="42">
        <f>F19</f>
        <v>28080.000000000004</v>
      </c>
      <c r="E12" s="46">
        <v>0.8</v>
      </c>
      <c r="F12" s="58">
        <f t="shared" ref="F12:F14" si="3">E12*D12</f>
        <v>22464.000000000004</v>
      </c>
      <c r="G12" s="54">
        <f t="shared" si="2"/>
        <v>516.67200000000003</v>
      </c>
      <c r="H12" s="3"/>
      <c r="I12" s="3"/>
    </row>
    <row r="13" spans="2:11" x14ac:dyDescent="0.25">
      <c r="B13" s="2" t="s">
        <v>88</v>
      </c>
      <c r="C13" s="42">
        <f>C12</f>
        <v>8</v>
      </c>
      <c r="D13" s="42">
        <f>E22</f>
        <v>1394.114122378194</v>
      </c>
      <c r="E13" s="46">
        <f>F22</f>
        <v>5</v>
      </c>
      <c r="F13" s="58">
        <f t="shared" si="3"/>
        <v>6970.5706118909702</v>
      </c>
      <c r="G13" s="54">
        <f t="shared" si="2"/>
        <v>160.32312407349232</v>
      </c>
      <c r="H13" s="3"/>
      <c r="I13" s="3"/>
      <c r="J13" s="3"/>
    </row>
    <row r="14" spans="2:1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x14ac:dyDescent="0.25">
      <c r="B15" s="5" t="s">
        <v>4</v>
      </c>
      <c r="C15" s="42">
        <f>C10+C11+C12+C14</f>
        <v>10</v>
      </c>
      <c r="F15" s="59">
        <f>SUM(F10:F14)</f>
        <v>34434.570611890973</v>
      </c>
      <c r="G15" s="46">
        <f>SUM(G10:G13)</f>
        <v>743.69512407349237</v>
      </c>
      <c r="I15" s="3"/>
      <c r="J15" s="3"/>
    </row>
    <row r="16" spans="2:11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8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49">
        <f>'Evolução reb'!J11</f>
        <v>10.4</v>
      </c>
      <c r="D19" s="42">
        <f>'A1'!D19</f>
        <v>9</v>
      </c>
      <c r="E19" s="42">
        <f>C19*D19</f>
        <v>93.600000000000009</v>
      </c>
      <c r="F19" s="43">
        <f>E19*300</f>
        <v>28080.000000000004</v>
      </c>
      <c r="G19" s="46">
        <f>0.8</f>
        <v>0.8</v>
      </c>
      <c r="H19" s="52">
        <f>F19*G19</f>
        <v>22464.000000000004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reb'!J10</f>
        <v>13</v>
      </c>
    </row>
    <row r="22" spans="2:9" x14ac:dyDescent="0.25">
      <c r="B22" s="5" t="s">
        <v>79</v>
      </c>
      <c r="C22" s="49">
        <f>'Evolução reb'!J15</f>
        <v>3.4852853059454851</v>
      </c>
      <c r="D22" s="42">
        <v>400</v>
      </c>
      <c r="E22" s="42">
        <f>C22*D22</f>
        <v>1394.114122378194</v>
      </c>
      <c r="F22" s="43">
        <v>5</v>
      </c>
      <c r="G22" s="46">
        <f>F22*E22</f>
        <v>6970.5706118909702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0.5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1.5</v>
      </c>
      <c r="D29" s="48" t="s">
        <v>160</v>
      </c>
      <c r="E29" s="30">
        <v>30</v>
      </c>
      <c r="F29" s="72">
        <f>C29*E29</f>
        <v>45</v>
      </c>
      <c r="G29" s="3"/>
    </row>
    <row r="30" spans="2:9" x14ac:dyDescent="0.25">
      <c r="B30" s="19" t="s">
        <v>104</v>
      </c>
      <c r="C30" s="53">
        <f>C34</f>
        <v>50</v>
      </c>
      <c r="D30" s="48" t="s">
        <v>8</v>
      </c>
      <c r="E30" s="30">
        <f>23/60</f>
        <v>0.38333333333333336</v>
      </c>
      <c r="F30" s="72">
        <f>C30*E30</f>
        <v>19.166666666666668</v>
      </c>
      <c r="G30" s="3"/>
    </row>
    <row r="31" spans="2:9" x14ac:dyDescent="0.25">
      <c r="B31" s="19" t="s">
        <v>105</v>
      </c>
      <c r="C31" s="53">
        <f>15*E27</f>
        <v>7.5</v>
      </c>
      <c r="D31" s="48" t="s">
        <v>8</v>
      </c>
      <c r="E31" s="30">
        <f>10</f>
        <v>10</v>
      </c>
      <c r="F31" s="72">
        <f>C31*E31</f>
        <v>75</v>
      </c>
      <c r="G31" s="3"/>
    </row>
    <row r="32" spans="2:9" x14ac:dyDescent="0.25">
      <c r="B32" s="19" t="s">
        <v>6</v>
      </c>
      <c r="C32" s="70">
        <f>50*2*E27</f>
        <v>50</v>
      </c>
      <c r="D32" s="48" t="s">
        <v>8</v>
      </c>
      <c r="E32" s="16">
        <v>0.4</v>
      </c>
      <c r="F32" s="72">
        <f t="shared" ref="F32:F33" si="4">C32*E32</f>
        <v>20</v>
      </c>
      <c r="G32" s="3"/>
    </row>
    <row r="33" spans="2:7" x14ac:dyDescent="0.25">
      <c r="B33" s="19" t="s">
        <v>34</v>
      </c>
      <c r="C33" s="70">
        <f>100*E27</f>
        <v>50</v>
      </c>
      <c r="D33" s="42" t="s">
        <v>8</v>
      </c>
      <c r="E33" s="17">
        <v>0.61</v>
      </c>
      <c r="F33" s="72">
        <f t="shared" si="4"/>
        <v>30.5</v>
      </c>
      <c r="G33" s="3"/>
    </row>
    <row r="34" spans="2:7" x14ac:dyDescent="0.25">
      <c r="B34" s="19" t="s">
        <v>44</v>
      </c>
      <c r="C34" s="48">
        <f>D10/8</f>
        <v>50</v>
      </c>
      <c r="D34" s="48" t="s">
        <v>8</v>
      </c>
      <c r="E34" s="30">
        <v>1.2</v>
      </c>
      <c r="F34" s="72">
        <f>C34*E34</f>
        <v>60</v>
      </c>
      <c r="G34" s="3"/>
    </row>
    <row r="35" spans="2:7" x14ac:dyDescent="0.25">
      <c r="B35" s="19" t="s">
        <v>45</v>
      </c>
      <c r="C35" s="48">
        <f>12/2.5*E27</f>
        <v>2.4</v>
      </c>
      <c r="D35" s="48" t="s">
        <v>33</v>
      </c>
      <c r="E35" s="30">
        <v>97</v>
      </c>
      <c r="F35" s="72">
        <f>C35*E35</f>
        <v>232.79999999999998</v>
      </c>
      <c r="G35" s="3"/>
    </row>
    <row r="36" spans="2:7" x14ac:dyDescent="0.25">
      <c r="B36" s="19" t="s">
        <v>48</v>
      </c>
      <c r="C36" s="48">
        <f>D10*1.1</f>
        <v>440.00000000000006</v>
      </c>
      <c r="D36" s="48" t="s">
        <v>26</v>
      </c>
      <c r="E36" s="30">
        <v>1</v>
      </c>
      <c r="F36" s="72">
        <f>C36*E36</f>
        <v>440.00000000000006</v>
      </c>
      <c r="G36" s="3"/>
    </row>
    <row r="37" spans="2:7" x14ac:dyDescent="0.25">
      <c r="B37" s="29"/>
      <c r="C37" s="15"/>
      <c r="D37" s="15"/>
      <c r="E37" s="30" t="s">
        <v>4</v>
      </c>
      <c r="F37" s="73">
        <f>SUM(F29:F36)</f>
        <v>922.4666666666667</v>
      </c>
      <c r="G37" s="3"/>
    </row>
    <row r="38" spans="2:7" x14ac:dyDescent="0.25">
      <c r="E38" s="23"/>
      <c r="G38" s="3"/>
    </row>
    <row r="39" spans="2:7" x14ac:dyDescent="0.25">
      <c r="B39" s="18" t="s">
        <v>91</v>
      </c>
      <c r="E39" s="23"/>
      <c r="G39" s="3"/>
    </row>
    <row r="40" spans="2:7" x14ac:dyDescent="0.25">
      <c r="B40" s="19" t="s">
        <v>27</v>
      </c>
      <c r="C40" s="13" t="s">
        <v>92</v>
      </c>
      <c r="D40" s="13" t="s">
        <v>39</v>
      </c>
      <c r="E40" s="24">
        <f>C12</f>
        <v>8</v>
      </c>
      <c r="F40" s="5"/>
      <c r="G40" s="3"/>
    </row>
    <row r="41" spans="2:7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7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720</v>
      </c>
      <c r="G42" s="3"/>
    </row>
    <row r="43" spans="2:7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384</v>
      </c>
      <c r="G43" s="3"/>
    </row>
    <row r="44" spans="2:7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1080</v>
      </c>
      <c r="G44" s="3"/>
    </row>
    <row r="45" spans="2:7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488</v>
      </c>
      <c r="G45" s="3"/>
    </row>
    <row r="46" spans="2:7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480</v>
      </c>
      <c r="G46" s="3"/>
    </row>
    <row r="47" spans="2:7" x14ac:dyDescent="0.25">
      <c r="B47" s="18"/>
      <c r="C47" s="3"/>
      <c r="D47" s="3"/>
      <c r="E47" s="25"/>
      <c r="F47" s="64">
        <f>SUM(F42:F46)</f>
        <v>3152</v>
      </c>
      <c r="G47" s="3"/>
    </row>
    <row r="48" spans="2:7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8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960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480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1080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488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480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3488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0.5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60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60</v>
      </c>
    </row>
    <row r="62" spans="2:8" s="3" customFormat="1" x14ac:dyDescent="0.25">
      <c r="B62" s="18"/>
      <c r="E62" s="25"/>
      <c r="F62" s="64">
        <f>SUM(F60:F61)</f>
        <v>120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743.69512407349237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793.69512407349237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34434.570611890973</v>
      </c>
      <c r="D85" s="2" t="s">
        <v>17</v>
      </c>
      <c r="E85" s="9">
        <f>C89/C6</f>
        <v>11595.218639278819</v>
      </c>
      <c r="I85" s="33"/>
    </row>
    <row r="86" spans="2:9" x14ac:dyDescent="0.25">
      <c r="B86" s="2" t="s">
        <v>21</v>
      </c>
      <c r="C86" s="9">
        <f>F37+F47+F56+F62</f>
        <v>7682.4666666666672</v>
      </c>
      <c r="D86" s="2" t="s">
        <v>18</v>
      </c>
      <c r="E86" s="9">
        <f>C89/C5</f>
        <v>2319.0437278557638</v>
      </c>
    </row>
    <row r="87" spans="2:9" x14ac:dyDescent="0.25">
      <c r="B87" s="2" t="s">
        <v>55</v>
      </c>
      <c r="C87" s="6">
        <f>C85-C86</f>
        <v>26752.103945224306</v>
      </c>
      <c r="D87" s="2" t="s">
        <v>19</v>
      </c>
      <c r="E87" s="9">
        <f>C90/C6</f>
        <v>11198.371077242073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23190.437278557638</v>
      </c>
    </row>
    <row r="90" spans="2:9" x14ac:dyDescent="0.25">
      <c r="B90" s="5" t="s">
        <v>16</v>
      </c>
      <c r="C90" s="9">
        <f>C89-F82</f>
        <v>22396.742154484145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0"/>
  <sheetViews>
    <sheetView showGridLines="0" workbookViewId="0">
      <selection activeCell="B5" sqref="B5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22.28515625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2" x14ac:dyDescent="0.25">
      <c r="B1" s="31" t="s">
        <v>325</v>
      </c>
    </row>
    <row r="2" spans="2:12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2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35549.999999999993</v>
      </c>
      <c r="J3" s="2" t="str">
        <f t="shared" si="1"/>
        <v>VA/UT</v>
      </c>
      <c r="K3" s="44">
        <f t="shared" si="1"/>
        <v>12052.933333333329</v>
      </c>
    </row>
    <row r="4" spans="2:12" ht="16.5" customHeight="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7882.4666666666672</v>
      </c>
      <c r="J4" s="2" t="str">
        <f t="shared" si="1"/>
        <v>VA/SAU</v>
      </c>
      <c r="K4" s="44">
        <f t="shared" si="1"/>
        <v>2410.5866666666657</v>
      </c>
    </row>
    <row r="5" spans="2:12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27667.533333333326</v>
      </c>
      <c r="J5" s="2" t="str">
        <f t="shared" si="1"/>
        <v>RA/UTF</v>
      </c>
      <c r="K5" s="44">
        <f t="shared" si="1"/>
        <v>11643.25833333333</v>
      </c>
      <c r="L5" s="284">
        <f>K5-'Sit chegada'!K5</f>
        <v>0</v>
      </c>
    </row>
    <row r="6" spans="2:12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2" x14ac:dyDescent="0.25">
      <c r="B7" s="38"/>
      <c r="H7" s="2" t="str">
        <f t="shared" si="0"/>
        <v>valor agregado</v>
      </c>
      <c r="I7" s="44">
        <f>C89</f>
        <v>24105.866666666658</v>
      </c>
    </row>
    <row r="8" spans="2:12" ht="18.75" x14ac:dyDescent="0.3">
      <c r="B8" s="74" t="s">
        <v>57</v>
      </c>
      <c r="H8" s="2" t="str">
        <f t="shared" si="0"/>
        <v>RA</v>
      </c>
      <c r="I8" s="44">
        <f>C90</f>
        <v>23286.516666666659</v>
      </c>
    </row>
    <row r="9" spans="2:12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2" x14ac:dyDescent="0.25">
      <c r="B10" s="2" t="s">
        <v>23</v>
      </c>
      <c r="C10" s="42">
        <v>0.5</v>
      </c>
      <c r="D10" s="42">
        <f>800*C10</f>
        <v>400</v>
      </c>
      <c r="E10" s="46">
        <v>3.5</v>
      </c>
      <c r="F10" s="58">
        <f>D10*E10</f>
        <v>1400</v>
      </c>
      <c r="G10" s="54">
        <f t="shared" ref="G10:G13" si="2">(F10)*2.3%</f>
        <v>32.200000000000003</v>
      </c>
      <c r="H10" s="3"/>
      <c r="I10" s="3"/>
    </row>
    <row r="11" spans="2:12" x14ac:dyDescent="0.25">
      <c r="B11" s="2" t="s">
        <v>24</v>
      </c>
      <c r="C11" s="42">
        <v>0.5</v>
      </c>
      <c r="D11" s="42">
        <f>1000*C11</f>
        <v>500</v>
      </c>
      <c r="E11" s="46">
        <v>3</v>
      </c>
      <c r="F11" s="58">
        <f>E11*D11</f>
        <v>1500</v>
      </c>
      <c r="G11" s="54">
        <f t="shared" si="2"/>
        <v>34.5</v>
      </c>
      <c r="H11" s="3"/>
      <c r="I11" s="3"/>
    </row>
    <row r="12" spans="2:12" x14ac:dyDescent="0.25">
      <c r="B12" s="2" t="s">
        <v>25</v>
      </c>
      <c r="C12" s="42">
        <f>I21/I22</f>
        <v>8</v>
      </c>
      <c r="D12" s="42">
        <f>F19</f>
        <v>28080.000000000004</v>
      </c>
      <c r="E12" s="46">
        <v>0.8</v>
      </c>
      <c r="F12" s="58">
        <f t="shared" ref="F12:F14" si="3">E12*D12</f>
        <v>22464.000000000004</v>
      </c>
      <c r="G12" s="54">
        <f t="shared" si="2"/>
        <v>516.67200000000003</v>
      </c>
      <c r="H12" s="3"/>
      <c r="I12" s="3"/>
    </row>
    <row r="13" spans="2:12" x14ac:dyDescent="0.25">
      <c r="B13" s="2" t="s">
        <v>88</v>
      </c>
      <c r="C13" s="42">
        <f>C12</f>
        <v>8</v>
      </c>
      <c r="D13" s="42">
        <f>E22</f>
        <v>1617.1999999999982</v>
      </c>
      <c r="E13" s="46">
        <f>F22</f>
        <v>5</v>
      </c>
      <c r="F13" s="58">
        <f t="shared" si="3"/>
        <v>8085.9999999999909</v>
      </c>
      <c r="G13" s="54">
        <f t="shared" si="2"/>
        <v>185.97799999999978</v>
      </c>
      <c r="H13" s="3"/>
      <c r="I13" s="3"/>
      <c r="J13" s="3"/>
    </row>
    <row r="14" spans="2:12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2" x14ac:dyDescent="0.25">
      <c r="B15" s="5" t="s">
        <v>4</v>
      </c>
      <c r="C15" s="42">
        <f>C10+C11+C12+C14</f>
        <v>10</v>
      </c>
      <c r="F15" s="59">
        <f>SUM(F10:F14)</f>
        <v>35549.999999999993</v>
      </c>
      <c r="G15" s="46">
        <f>SUM(G10:G13)</f>
        <v>769.34999999999991</v>
      </c>
      <c r="I15" s="3"/>
      <c r="J15" s="3"/>
    </row>
    <row r="16" spans="2:12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8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49">
        <f>'Evolução reb'!K11</f>
        <v>10.4</v>
      </c>
      <c r="D19" s="42">
        <f>'A1'!D19</f>
        <v>9</v>
      </c>
      <c r="E19" s="42">
        <f>C19*D19</f>
        <v>93.600000000000009</v>
      </c>
      <c r="F19" s="43">
        <f>E19*300</f>
        <v>28080.000000000004</v>
      </c>
      <c r="G19" s="46">
        <f>0.8</f>
        <v>0.8</v>
      </c>
      <c r="H19" s="46">
        <f>F19*G19</f>
        <v>22464.000000000004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reb'!K10</f>
        <v>13</v>
      </c>
    </row>
    <row r="22" spans="2:9" x14ac:dyDescent="0.25">
      <c r="B22" s="5" t="s">
        <v>79</v>
      </c>
      <c r="C22" s="49">
        <f>'Evolução reb'!K15</f>
        <v>4.0429999999999957</v>
      </c>
      <c r="D22" s="42">
        <v>400</v>
      </c>
      <c r="E22" s="42">
        <f>C22*D22</f>
        <v>1617.1999999999982</v>
      </c>
      <c r="F22" s="43">
        <v>5</v>
      </c>
      <c r="G22" s="46">
        <f>F22*E22</f>
        <v>8085.9999999999909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0.5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1.5</v>
      </c>
      <c r="D29" s="48" t="s">
        <v>160</v>
      </c>
      <c r="E29" s="30">
        <v>30</v>
      </c>
      <c r="F29" s="72">
        <f>C29*E29</f>
        <v>45</v>
      </c>
      <c r="G29" s="3"/>
      <c r="H29" s="282"/>
    </row>
    <row r="30" spans="2:9" x14ac:dyDescent="0.25">
      <c r="B30" s="19" t="s">
        <v>104</v>
      </c>
      <c r="C30" s="53">
        <f>C34</f>
        <v>50</v>
      </c>
      <c r="D30" s="48" t="s">
        <v>8</v>
      </c>
      <c r="E30" s="30">
        <f>23/60</f>
        <v>0.38333333333333336</v>
      </c>
      <c r="F30" s="72">
        <f>C30*E30</f>
        <v>19.166666666666668</v>
      </c>
      <c r="G30" s="3"/>
      <c r="H30" s="282"/>
    </row>
    <row r="31" spans="2:9" x14ac:dyDescent="0.25">
      <c r="B31" s="19" t="s">
        <v>105</v>
      </c>
      <c r="C31" s="53">
        <f>15*E27</f>
        <v>7.5</v>
      </c>
      <c r="D31" s="48" t="s">
        <v>8</v>
      </c>
      <c r="E31" s="30">
        <f>10</f>
        <v>10</v>
      </c>
      <c r="F31" s="72">
        <f>C31*E31</f>
        <v>75</v>
      </c>
      <c r="G31" s="3"/>
      <c r="H31" s="282"/>
    </row>
    <row r="32" spans="2:9" x14ac:dyDescent="0.25">
      <c r="B32" s="19" t="s">
        <v>6</v>
      </c>
      <c r="C32" s="70">
        <f>50*2*E27</f>
        <v>50</v>
      </c>
      <c r="D32" s="48" t="s">
        <v>8</v>
      </c>
      <c r="E32" s="16">
        <v>0.4</v>
      </c>
      <c r="F32" s="72">
        <f t="shared" ref="F32:F33" si="4">C32*E32</f>
        <v>20</v>
      </c>
      <c r="G32" s="3"/>
      <c r="H32" s="282"/>
    </row>
    <row r="33" spans="2:8" x14ac:dyDescent="0.25">
      <c r="B33" s="19" t="s">
        <v>34</v>
      </c>
      <c r="C33" s="70">
        <f>100*E27</f>
        <v>50</v>
      </c>
      <c r="D33" s="42" t="s">
        <v>8</v>
      </c>
      <c r="E33" s="17">
        <v>0.61</v>
      </c>
      <c r="F33" s="72">
        <f t="shared" si="4"/>
        <v>30.5</v>
      </c>
      <c r="G33" s="3"/>
      <c r="H33" s="282"/>
    </row>
    <row r="34" spans="2:8" x14ac:dyDescent="0.25">
      <c r="B34" s="19" t="s">
        <v>44</v>
      </c>
      <c r="C34" s="48">
        <f>D10/8</f>
        <v>50</v>
      </c>
      <c r="D34" s="48" t="s">
        <v>8</v>
      </c>
      <c r="E34" s="30">
        <v>1.2</v>
      </c>
      <c r="F34" s="72">
        <f>C34*E34</f>
        <v>60</v>
      </c>
      <c r="G34" s="3"/>
      <c r="H34" s="282"/>
    </row>
    <row r="35" spans="2:8" x14ac:dyDescent="0.25">
      <c r="B35" s="19" t="s">
        <v>45</v>
      </c>
      <c r="C35" s="48">
        <f>12/2.5*E27</f>
        <v>2.4</v>
      </c>
      <c r="D35" s="48" t="s">
        <v>33</v>
      </c>
      <c r="E35" s="30">
        <v>97</v>
      </c>
      <c r="F35" s="72">
        <f>C35*E35</f>
        <v>232.79999999999998</v>
      </c>
      <c r="G35" s="3"/>
      <c r="H35" s="282"/>
    </row>
    <row r="36" spans="2:8" x14ac:dyDescent="0.25">
      <c r="B36" s="19" t="s">
        <v>48</v>
      </c>
      <c r="C36" s="48">
        <f>D10*1.1</f>
        <v>440.00000000000006</v>
      </c>
      <c r="D36" s="48" t="s">
        <v>26</v>
      </c>
      <c r="E36" s="30">
        <v>1</v>
      </c>
      <c r="F36" s="72">
        <f>C36*E36</f>
        <v>440.00000000000006</v>
      </c>
      <c r="G36" s="3"/>
      <c r="H36" s="282"/>
    </row>
    <row r="37" spans="2:8" x14ac:dyDescent="0.25">
      <c r="B37" s="29"/>
      <c r="C37" s="15"/>
      <c r="D37" s="15"/>
      <c r="E37" s="30" t="s">
        <v>4</v>
      </c>
      <c r="F37" s="73">
        <f>SUM(F29:F36)</f>
        <v>922.4666666666667</v>
      </c>
      <c r="G37" s="3"/>
      <c r="H37" s="283"/>
    </row>
    <row r="38" spans="2:8" x14ac:dyDescent="0.25">
      <c r="E38" s="23"/>
      <c r="G38" s="3"/>
      <c r="H38" s="3"/>
    </row>
    <row r="39" spans="2:8" x14ac:dyDescent="0.25">
      <c r="B39" s="18" t="s">
        <v>91</v>
      </c>
      <c r="E39" s="23"/>
      <c r="G39" s="3"/>
      <c r="H39" s="3"/>
    </row>
    <row r="40" spans="2:8" x14ac:dyDescent="0.25">
      <c r="B40" s="19" t="s">
        <v>27</v>
      </c>
      <c r="C40" s="13" t="s">
        <v>92</v>
      </c>
      <c r="D40" s="13" t="s">
        <v>39</v>
      </c>
      <c r="E40" s="24">
        <f>C12</f>
        <v>8</v>
      </c>
      <c r="F40" s="5"/>
      <c r="G40" s="3"/>
    </row>
    <row r="41" spans="2:8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8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720</v>
      </c>
      <c r="G42" s="3"/>
    </row>
    <row r="43" spans="2:8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384</v>
      </c>
      <c r="G43" s="3"/>
    </row>
    <row r="44" spans="2:8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1080</v>
      </c>
      <c r="G44" s="3"/>
    </row>
    <row r="45" spans="2:8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488</v>
      </c>
      <c r="G45" s="3"/>
    </row>
    <row r="46" spans="2:8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480</v>
      </c>
      <c r="G46" s="3"/>
    </row>
    <row r="47" spans="2:8" x14ac:dyDescent="0.25">
      <c r="B47" s="18"/>
      <c r="C47" s="3"/>
      <c r="D47" s="3"/>
      <c r="E47" s="25"/>
      <c r="F47" s="64">
        <f>SUM(F42:F46)</f>
        <v>3152</v>
      </c>
      <c r="G47" s="3"/>
    </row>
    <row r="48" spans="2:8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8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960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480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1080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488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480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3488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0.5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60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60</v>
      </c>
    </row>
    <row r="62" spans="2:8" s="3" customFormat="1" x14ac:dyDescent="0.25">
      <c r="B62" s="18"/>
      <c r="E62" s="25"/>
      <c r="F62" s="64">
        <f>SUM(F60:F61)</f>
        <v>120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769.34999999999991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819.34999999999991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35549.999999999993</v>
      </c>
      <c r="D85" s="2" t="s">
        <v>202</v>
      </c>
      <c r="E85" s="9">
        <f>C89/C6</f>
        <v>12052.933333333329</v>
      </c>
      <c r="I85" s="33"/>
    </row>
    <row r="86" spans="2:9" x14ac:dyDescent="0.25">
      <c r="B86" s="2" t="s">
        <v>21</v>
      </c>
      <c r="C86" s="9">
        <f>F37+F47+F56+F62+C64</f>
        <v>7882.4666666666672</v>
      </c>
      <c r="D86" s="2" t="s">
        <v>18</v>
      </c>
      <c r="E86" s="9">
        <f>C89/C5</f>
        <v>2410.5866666666657</v>
      </c>
    </row>
    <row r="87" spans="2:9" x14ac:dyDescent="0.25">
      <c r="B87" s="2" t="s">
        <v>55</v>
      </c>
      <c r="C87" s="6">
        <f>C85-C86</f>
        <v>27667.533333333326</v>
      </c>
      <c r="D87" s="2" t="s">
        <v>330</v>
      </c>
      <c r="E87" s="9">
        <f>C90/C6</f>
        <v>11643.25833333333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24105.866666666658</v>
      </c>
    </row>
    <row r="90" spans="2:9" x14ac:dyDescent="0.25">
      <c r="B90" s="5" t="s">
        <v>16</v>
      </c>
      <c r="C90" s="9">
        <f>C89-F82</f>
        <v>23286.516666666659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B8" sqref="B8"/>
    </sheetView>
  </sheetViews>
  <sheetFormatPr defaultRowHeight="15" x14ac:dyDescent="0.25"/>
  <cols>
    <col min="1" max="1" width="9.140625" style="1"/>
    <col min="2" max="2" width="11.140625" style="1" bestFit="1" customWidth="1"/>
    <col min="3" max="3" width="9.140625" style="1"/>
    <col min="4" max="4" width="9.140625" style="1" customWidth="1"/>
    <col min="5" max="5" width="12.28515625" style="1" customWidth="1"/>
    <col min="6" max="6" width="13.140625" style="1" customWidth="1"/>
    <col min="7" max="7" width="11.7109375" style="1" customWidth="1"/>
    <col min="8" max="8" width="10.42578125" style="1" customWidth="1"/>
    <col min="9" max="9" width="11.5703125" style="1" customWidth="1"/>
    <col min="10" max="12" width="9.140625" style="1"/>
    <col min="13" max="13" width="10.140625" style="1" customWidth="1"/>
    <col min="14" max="16384" width="9.140625" style="1"/>
  </cols>
  <sheetData>
    <row r="1" spans="1:14" x14ac:dyDescent="0.25">
      <c r="A1" s="1" t="s">
        <v>131</v>
      </c>
    </row>
    <row r="2" spans="1:14" ht="10.5" customHeight="1" x14ac:dyDescent="0.25"/>
    <row r="3" spans="1:14" x14ac:dyDescent="0.25">
      <c r="A3" s="1" t="s">
        <v>107</v>
      </c>
      <c r="D3" s="3"/>
      <c r="E3" s="84" t="s">
        <v>106</v>
      </c>
      <c r="F3" s="85"/>
      <c r="G3" s="86"/>
    </row>
    <row r="4" spans="1:14" x14ac:dyDescent="0.25">
      <c r="A4" s="2" t="s">
        <v>109</v>
      </c>
      <c r="B4" s="2">
        <v>10</v>
      </c>
      <c r="C4" s="1" t="s">
        <v>110</v>
      </c>
      <c r="D4" s="3"/>
      <c r="E4" s="41" t="s">
        <v>108</v>
      </c>
      <c r="F4" s="87"/>
      <c r="G4" s="88">
        <f>I27</f>
        <v>87158.311183780475</v>
      </c>
    </row>
    <row r="5" spans="1:14" x14ac:dyDescent="0.25">
      <c r="A5" s="2" t="s">
        <v>112</v>
      </c>
      <c r="B5" s="91">
        <v>0.02</v>
      </c>
      <c r="C5" s="1" t="s">
        <v>113</v>
      </c>
      <c r="D5" s="3"/>
      <c r="E5" s="84" t="s">
        <v>111</v>
      </c>
      <c r="F5" s="89"/>
      <c r="G5" s="90">
        <f>K27</f>
        <v>70642.971992696679</v>
      </c>
    </row>
    <row r="6" spans="1:14" x14ac:dyDescent="0.25">
      <c r="A6" s="2" t="s">
        <v>115</v>
      </c>
      <c r="B6" s="92">
        <v>0</v>
      </c>
      <c r="C6" s="1" t="s">
        <v>110</v>
      </c>
      <c r="D6" s="3"/>
      <c r="E6" s="2" t="s">
        <v>114</v>
      </c>
      <c r="F6" s="89"/>
      <c r="G6" s="42">
        <v>6</v>
      </c>
    </row>
    <row r="7" spans="1:14" x14ac:dyDescent="0.25">
      <c r="A7" s="5" t="s">
        <v>321</v>
      </c>
      <c r="B7" s="285">
        <v>0</v>
      </c>
      <c r="C7" s="1" t="s">
        <v>323</v>
      </c>
      <c r="D7" s="3"/>
      <c r="E7" s="2" t="s">
        <v>116</v>
      </c>
      <c r="F7" s="89"/>
      <c r="G7" s="93">
        <f>H27/B27</f>
        <v>2.0089815045466071</v>
      </c>
    </row>
    <row r="8" spans="1:14" x14ac:dyDescent="0.25">
      <c r="D8" s="4"/>
      <c r="E8" s="2" t="s">
        <v>117</v>
      </c>
      <c r="F8" s="89"/>
      <c r="G8" s="94">
        <f>IRR(I17:I26)</f>
        <v>0.20664223482074595</v>
      </c>
    </row>
    <row r="9" spans="1:14" x14ac:dyDescent="0.25">
      <c r="A9" s="4" t="s">
        <v>316</v>
      </c>
      <c r="B9" s="4"/>
      <c r="D9" s="4"/>
      <c r="E9" s="3"/>
      <c r="F9" s="3"/>
      <c r="G9" s="95"/>
    </row>
    <row r="10" spans="1:14" x14ac:dyDescent="0.25">
      <c r="A10" s="271" t="s">
        <v>317</v>
      </c>
      <c r="B10" s="272"/>
      <c r="C10" s="273"/>
      <c r="D10" s="272"/>
      <c r="E10" s="274">
        <f>'Sit chegada'!C75</f>
        <v>72500</v>
      </c>
      <c r="F10" s="273" t="s">
        <v>333</v>
      </c>
      <c r="G10" s="275"/>
    </row>
    <row r="11" spans="1:14" x14ac:dyDescent="0.25">
      <c r="A11" s="276" t="s">
        <v>318</v>
      </c>
      <c r="B11" s="3"/>
      <c r="C11" s="3"/>
      <c r="D11" s="4"/>
      <c r="E11" s="51">
        <f>'Sit chegada'!I4</f>
        <v>7882.4666666666672</v>
      </c>
      <c r="F11" s="3" t="s">
        <v>319</v>
      </c>
      <c r="G11" s="277"/>
      <c r="H11" s="3"/>
      <c r="I11" s="3"/>
      <c r="J11" s="95"/>
    </row>
    <row r="12" spans="1:14" x14ac:dyDescent="0.25">
      <c r="A12" s="278" t="s">
        <v>324</v>
      </c>
      <c r="B12" s="279"/>
      <c r="C12" s="279"/>
      <c r="D12" s="280"/>
      <c r="E12" s="281">
        <f>'A1'!C19*2000</f>
        <v>6000</v>
      </c>
      <c r="F12" s="279" t="s">
        <v>319</v>
      </c>
      <c r="G12" s="87"/>
      <c r="H12" s="3"/>
      <c r="I12" s="3"/>
      <c r="J12" s="95"/>
    </row>
    <row r="13" spans="1:14" x14ac:dyDescent="0.25">
      <c r="A13" s="4"/>
      <c r="B13" s="3"/>
      <c r="C13" s="3"/>
      <c r="D13" s="4"/>
      <c r="E13" s="51"/>
      <c r="F13" s="3"/>
      <c r="G13" s="3"/>
      <c r="H13" s="3"/>
      <c r="I13" s="3"/>
      <c r="J13" s="95"/>
    </row>
    <row r="14" spans="1:14" x14ac:dyDescent="0.25">
      <c r="A14" s="1" t="s">
        <v>118</v>
      </c>
      <c r="E14" s="7"/>
    </row>
    <row r="15" spans="1:14" x14ac:dyDescent="0.25">
      <c r="A15" s="96" t="s">
        <v>119</v>
      </c>
      <c r="B15" s="90" t="s">
        <v>120</v>
      </c>
      <c r="C15" s="90" t="s">
        <v>121</v>
      </c>
      <c r="D15" s="90" t="s">
        <v>122</v>
      </c>
      <c r="E15" s="96" t="s">
        <v>112</v>
      </c>
      <c r="F15" s="96" t="s">
        <v>123</v>
      </c>
      <c r="G15" s="96" t="s">
        <v>124</v>
      </c>
      <c r="H15" s="96" t="s">
        <v>125</v>
      </c>
      <c r="I15" s="96" t="s">
        <v>126</v>
      </c>
      <c r="J15" s="96" t="s">
        <v>127</v>
      </c>
      <c r="K15" s="96" t="s">
        <v>128</v>
      </c>
      <c r="L15" s="96" t="s">
        <v>129</v>
      </c>
      <c r="M15" s="96" t="s">
        <v>130</v>
      </c>
      <c r="N15" s="96" t="s">
        <v>322</v>
      </c>
    </row>
    <row r="16" spans="1:14" x14ac:dyDescent="0.25">
      <c r="A16" s="90">
        <v>0</v>
      </c>
      <c r="B16" s="90">
        <f>('Sit chegada'!C75/2+'Sit chegada'!I4+'A1'!C19*2000)*(1-B7)</f>
        <v>50132.466666666667</v>
      </c>
      <c r="C16" s="90"/>
      <c r="D16" s="90"/>
      <c r="E16" s="90"/>
      <c r="F16" s="90"/>
      <c r="G16" s="90">
        <v>0</v>
      </c>
      <c r="H16" s="90"/>
      <c r="I16" s="90"/>
      <c r="J16" s="90"/>
      <c r="K16" s="90"/>
      <c r="L16" s="90"/>
      <c r="M16" s="90"/>
      <c r="N16" s="2"/>
    </row>
    <row r="17" spans="1:14" x14ac:dyDescent="0.25">
      <c r="A17" s="90">
        <f>A16+1</f>
        <v>1</v>
      </c>
      <c r="B17" s="90">
        <f>('Sit chegada'!C75/2)*(1-B7)</f>
        <v>36250</v>
      </c>
      <c r="C17" s="90">
        <f>IF(B6=0,B16/A26,0)</f>
        <v>5013.2466666666669</v>
      </c>
      <c r="D17" s="90">
        <f>B16</f>
        <v>50132.466666666667</v>
      </c>
      <c r="E17" s="90">
        <f t="shared" ref="E17:E26" si="0">D17*$B$5</f>
        <v>1002.6493333333334</v>
      </c>
      <c r="F17" s="90">
        <f>C17+E17</f>
        <v>6015.8960000000006</v>
      </c>
      <c r="G17" s="90">
        <f>'A1'!I8</f>
        <v>14941.652307692308</v>
      </c>
      <c r="H17" s="90">
        <f>G17-$G$16</f>
        <v>14941.652307692308</v>
      </c>
      <c r="I17" s="90">
        <f>H17-B16</f>
        <v>-35190.814358974356</v>
      </c>
      <c r="J17" s="90">
        <f>I17</f>
        <v>-35190.814358974356</v>
      </c>
      <c r="K17" s="90">
        <f t="shared" ref="K17:K26" si="1">I17/(1+$B$5)^A17</f>
        <v>-34500.798391151329</v>
      </c>
      <c r="L17" s="90">
        <f>H17-F17</f>
        <v>8925.756307692307</v>
      </c>
      <c r="M17" s="90">
        <f t="shared" ref="M17:M26" si="2">L17/(1+$B$5)^A17</f>
        <v>8750.741478129712</v>
      </c>
      <c r="N17" s="131">
        <f>'Sit chegada'!$K$7*'Sit chegada'!$C$6</f>
        <v>22880</v>
      </c>
    </row>
    <row r="18" spans="1:14" x14ac:dyDescent="0.25">
      <c r="A18" s="90">
        <f t="shared" ref="A18:A22" si="3">A17+1</f>
        <v>2</v>
      </c>
      <c r="B18" s="90"/>
      <c r="C18" s="90">
        <f>IF($B$6&gt;1.5,0,IF(C17=0,(B17+B16)/($A$26-$B$6),(C17+B17/($A$26-$B$6))))</f>
        <v>8638.246666666666</v>
      </c>
      <c r="D18" s="90">
        <f>(B17+D17)-C17</f>
        <v>81369.22</v>
      </c>
      <c r="E18" s="90">
        <f t="shared" si="0"/>
        <v>1627.3844000000001</v>
      </c>
      <c r="F18" s="90">
        <f t="shared" ref="F18:F26" si="4">C18+E18</f>
        <v>10265.631066666667</v>
      </c>
      <c r="G18" s="90">
        <f>'A2'!I8</f>
        <v>13675.460307692309</v>
      </c>
      <c r="H18" s="90">
        <f t="shared" ref="H18:H26" si="5">G18-$G$16</f>
        <v>13675.460307692309</v>
      </c>
      <c r="I18" s="90">
        <f t="shared" ref="I18:I23" si="6">H18-B17</f>
        <v>-22574.539692307691</v>
      </c>
      <c r="J18" s="90">
        <f>I18+J17</f>
        <v>-57765.354051282047</v>
      </c>
      <c r="K18" s="90">
        <f t="shared" si="1"/>
        <v>-21697.94280306391</v>
      </c>
      <c r="L18" s="90">
        <f t="shared" ref="L18:L26" si="7">H18-F18</f>
        <v>3409.8292410256417</v>
      </c>
      <c r="M18" s="90">
        <f t="shared" si="2"/>
        <v>3277.4214158262607</v>
      </c>
      <c r="N18" s="131">
        <f>'Sit chegada'!$K$7*'Sit chegada'!$C$6</f>
        <v>22880</v>
      </c>
    </row>
    <row r="19" spans="1:14" x14ac:dyDescent="0.25">
      <c r="A19" s="90">
        <f t="shared" si="3"/>
        <v>3</v>
      </c>
      <c r="B19" s="90"/>
      <c r="C19" s="90">
        <f>IF($B$6&gt;2.5,0,IF(C18=0,(B18+B17+B16)/($A$26-$B$6),(C18+B18/($A$26-$B$6))))</f>
        <v>8638.246666666666</v>
      </c>
      <c r="D19" s="90">
        <f>(B18+D18)-C18</f>
        <v>72730.973333333328</v>
      </c>
      <c r="E19" s="90">
        <f t="shared" si="0"/>
        <v>1454.6194666666665</v>
      </c>
      <c r="F19" s="90">
        <f t="shared" si="4"/>
        <v>10092.866133333333</v>
      </c>
      <c r="G19" s="90">
        <f>'A3'!I8</f>
        <v>16434.033175384615</v>
      </c>
      <c r="H19" s="90">
        <f t="shared" si="5"/>
        <v>16434.033175384615</v>
      </c>
      <c r="I19" s="90">
        <f t="shared" si="6"/>
        <v>16434.033175384615</v>
      </c>
      <c r="J19" s="90">
        <f t="shared" ref="J19:J23" si="8">I19+J18</f>
        <v>-41331.320875897436</v>
      </c>
      <c r="K19" s="90">
        <f t="shared" si="1"/>
        <v>15486.156507852011</v>
      </c>
      <c r="L19" s="90">
        <f t="shared" si="7"/>
        <v>6341.1670420512819</v>
      </c>
      <c r="M19" s="90">
        <f t="shared" si="2"/>
        <v>5975.4233308185412</v>
      </c>
      <c r="N19" s="131">
        <f>'Sit chegada'!$K$7*'Sit chegada'!$C$6</f>
        <v>22880</v>
      </c>
    </row>
    <row r="20" spans="1:14" x14ac:dyDescent="0.25">
      <c r="A20" s="90">
        <f t="shared" si="3"/>
        <v>4</v>
      </c>
      <c r="B20" s="90"/>
      <c r="C20" s="90">
        <f>($B$27-$C$19-$C$18-$C$17)/($A$26-3)</f>
        <v>9156.1038095238091</v>
      </c>
      <c r="D20" s="90">
        <f t="shared" ref="D20:D26" si="9">(B19+D19)-C19</f>
        <v>64092.726666666662</v>
      </c>
      <c r="E20" s="90">
        <f t="shared" si="0"/>
        <v>1281.8545333333332</v>
      </c>
      <c r="F20" s="90">
        <f t="shared" si="4"/>
        <v>10437.958342857142</v>
      </c>
      <c r="G20" s="90">
        <f>'A4'!I8</f>
        <v>15817.720861292308</v>
      </c>
      <c r="H20" s="90">
        <f t="shared" si="5"/>
        <v>15817.720861292308</v>
      </c>
      <c r="I20" s="90">
        <f t="shared" si="6"/>
        <v>15817.720861292308</v>
      </c>
      <c r="J20" s="90">
        <f t="shared" si="8"/>
        <v>-25513.60001460513</v>
      </c>
      <c r="K20" s="90">
        <f t="shared" si="1"/>
        <v>14613.129067869073</v>
      </c>
      <c r="L20" s="90">
        <f t="shared" si="7"/>
        <v>5379.7625184351655</v>
      </c>
      <c r="M20" s="90">
        <f t="shared" si="2"/>
        <v>4970.0689957652085</v>
      </c>
      <c r="N20" s="131">
        <f>'Sit chegada'!$K$7*'Sit chegada'!$C$6</f>
        <v>22880</v>
      </c>
    </row>
    <row r="21" spans="1:14" x14ac:dyDescent="0.25">
      <c r="A21" s="90">
        <f t="shared" si="3"/>
        <v>5</v>
      </c>
      <c r="B21" s="90"/>
      <c r="C21" s="90">
        <f t="shared" ref="C21:C26" si="10">C20</f>
        <v>9156.1038095238091</v>
      </c>
      <c r="D21" s="90">
        <f t="shared" si="9"/>
        <v>54936.622857142851</v>
      </c>
      <c r="E21" s="90">
        <f t="shared" si="0"/>
        <v>1098.7324571428571</v>
      </c>
      <c r="F21" s="90">
        <f t="shared" si="4"/>
        <v>10254.836266666665</v>
      </c>
      <c r="G21" s="90">
        <f>'A5'!I8</f>
        <v>17205.795840509541</v>
      </c>
      <c r="H21" s="90">
        <f t="shared" si="5"/>
        <v>17205.795840509541</v>
      </c>
      <c r="I21" s="90">
        <f t="shared" si="6"/>
        <v>17205.795840509541</v>
      </c>
      <c r="J21" s="90">
        <f t="shared" si="8"/>
        <v>-8307.8041740955887</v>
      </c>
      <c r="K21" s="90">
        <f t="shared" si="1"/>
        <v>15583.819400392906</v>
      </c>
      <c r="L21" s="90">
        <f t="shared" si="7"/>
        <v>6950.9595738428761</v>
      </c>
      <c r="M21" s="90">
        <f t="shared" si="2"/>
        <v>6295.6982439117155</v>
      </c>
      <c r="N21" s="131">
        <f>'Sit chegada'!$K$7*'Sit chegada'!$C$6</f>
        <v>22880</v>
      </c>
    </row>
    <row r="22" spans="1:14" x14ac:dyDescent="0.25">
      <c r="A22" s="90">
        <f t="shared" si="3"/>
        <v>6</v>
      </c>
      <c r="B22" s="90"/>
      <c r="C22" s="90">
        <f t="shared" si="10"/>
        <v>9156.1038095238091</v>
      </c>
      <c r="D22" s="90">
        <f t="shared" si="9"/>
        <v>45780.51904761904</v>
      </c>
      <c r="E22" s="90">
        <f t="shared" si="0"/>
        <v>915.61038095238086</v>
      </c>
      <c r="F22" s="90">
        <f t="shared" si="4"/>
        <v>10071.71419047619</v>
      </c>
      <c r="G22" s="90">
        <f>'A6'!I8</f>
        <v>15764.896946077255</v>
      </c>
      <c r="H22" s="90">
        <f t="shared" si="5"/>
        <v>15764.896946077255</v>
      </c>
      <c r="I22" s="90">
        <f t="shared" si="6"/>
        <v>15764.896946077255</v>
      </c>
      <c r="J22" s="90">
        <f t="shared" si="8"/>
        <v>7457.0927719816664</v>
      </c>
      <c r="K22" s="90">
        <f t="shared" si="1"/>
        <v>13998.777331231096</v>
      </c>
      <c r="L22" s="90">
        <f t="shared" si="7"/>
        <v>5693.1827556010649</v>
      </c>
      <c r="M22" s="90">
        <f t="shared" si="2"/>
        <v>5055.3833605296713</v>
      </c>
      <c r="N22" s="131">
        <f>'Sit chegada'!$K$7*'Sit chegada'!$C$6</f>
        <v>22880</v>
      </c>
    </row>
    <row r="23" spans="1:14" x14ac:dyDescent="0.25">
      <c r="A23" s="90">
        <f>A22+1</f>
        <v>7</v>
      </c>
      <c r="B23" s="90"/>
      <c r="C23" s="90">
        <f t="shared" si="10"/>
        <v>9156.1038095238091</v>
      </c>
      <c r="D23" s="90">
        <f t="shared" si="9"/>
        <v>36624.415238095229</v>
      </c>
      <c r="E23" s="90">
        <f t="shared" si="0"/>
        <v>732.4883047619046</v>
      </c>
      <c r="F23" s="90">
        <f t="shared" si="4"/>
        <v>9888.5921142857133</v>
      </c>
      <c r="G23" s="90">
        <f>'A7'!I8</f>
        <v>16531.154730530663</v>
      </c>
      <c r="H23" s="90">
        <f t="shared" si="5"/>
        <v>16531.154730530663</v>
      </c>
      <c r="I23" s="90">
        <f t="shared" si="6"/>
        <v>16531.154730530663</v>
      </c>
      <c r="J23" s="90">
        <f t="shared" si="8"/>
        <v>23988.247502512328</v>
      </c>
      <c r="K23" s="90">
        <f t="shared" si="1"/>
        <v>14391.365014905023</v>
      </c>
      <c r="L23" s="90">
        <f t="shared" si="7"/>
        <v>6642.5626162449498</v>
      </c>
      <c r="M23" s="90">
        <f t="shared" si="2"/>
        <v>5782.7504976523105</v>
      </c>
      <c r="N23" s="131">
        <f>'Sit chegada'!$K$7*'Sit chegada'!$C$6</f>
        <v>22880</v>
      </c>
    </row>
    <row r="24" spans="1:14" x14ac:dyDescent="0.25">
      <c r="A24" s="90">
        <f>A23+1</f>
        <v>8</v>
      </c>
      <c r="B24" s="90"/>
      <c r="C24" s="90">
        <f t="shared" si="10"/>
        <v>9156.1038095238091</v>
      </c>
      <c r="D24" s="90">
        <f t="shared" si="9"/>
        <v>27468.311428571418</v>
      </c>
      <c r="E24" s="90">
        <f t="shared" si="0"/>
        <v>549.36622857142834</v>
      </c>
      <c r="F24" s="90">
        <f t="shared" si="4"/>
        <v>9705.4700380952381</v>
      </c>
      <c r="G24" s="90">
        <f>'A8'!I8</f>
        <v>17486.80486011734</v>
      </c>
      <c r="H24" s="90">
        <f t="shared" si="5"/>
        <v>17486.80486011734</v>
      </c>
      <c r="I24" s="90">
        <f>H24-B23</f>
        <v>17486.80486011734</v>
      </c>
      <c r="J24" s="90">
        <f>I24+J23</f>
        <v>41475.052362629664</v>
      </c>
      <c r="K24" s="90">
        <f t="shared" si="1"/>
        <v>14924.819570990596</v>
      </c>
      <c r="L24" s="90">
        <f t="shared" si="7"/>
        <v>7781.3348220221014</v>
      </c>
      <c r="M24" s="90">
        <f t="shared" si="2"/>
        <v>6641.294345602184</v>
      </c>
      <c r="N24" s="131">
        <f>'Sit chegada'!$K$7*'Sit chegada'!$C$6</f>
        <v>22880</v>
      </c>
    </row>
    <row r="25" spans="1:14" x14ac:dyDescent="0.25">
      <c r="A25" s="90">
        <f t="shared" ref="A25:A26" si="11">A24+1</f>
        <v>9</v>
      </c>
      <c r="B25" s="90"/>
      <c r="C25" s="90">
        <f t="shared" si="10"/>
        <v>9156.1038095238091</v>
      </c>
      <c r="D25" s="90">
        <f t="shared" si="9"/>
        <v>18312.207619047607</v>
      </c>
      <c r="E25" s="90">
        <f t="shared" si="0"/>
        <v>366.24415238095213</v>
      </c>
      <c r="F25" s="90">
        <f t="shared" si="4"/>
        <v>9522.3479619047612</v>
      </c>
      <c r="G25" s="90">
        <f>'A9'!I8</f>
        <v>22396.742154484145</v>
      </c>
      <c r="H25" s="90">
        <f t="shared" si="5"/>
        <v>22396.742154484145</v>
      </c>
      <c r="I25" s="90">
        <f t="shared" ref="I25:I26" si="12">H25-B24</f>
        <v>22396.742154484145</v>
      </c>
      <c r="J25" s="90">
        <f t="shared" ref="J25:J26" si="13">I25+J24</f>
        <v>63871.794517113813</v>
      </c>
      <c r="K25" s="90">
        <f t="shared" si="1"/>
        <v>18740.591936156758</v>
      </c>
      <c r="L25" s="90">
        <f t="shared" si="7"/>
        <v>12874.394192579384</v>
      </c>
      <c r="M25" s="90">
        <f t="shared" si="2"/>
        <v>10772.717135561172</v>
      </c>
      <c r="N25" s="131">
        <f>'Sit chegada'!$K$7*'Sit chegada'!$C$6</f>
        <v>22880</v>
      </c>
    </row>
    <row r="26" spans="1:14" x14ac:dyDescent="0.25">
      <c r="A26" s="90">
        <f t="shared" si="11"/>
        <v>10</v>
      </c>
      <c r="B26" s="90"/>
      <c r="C26" s="90">
        <f t="shared" si="10"/>
        <v>9156.1038095238091</v>
      </c>
      <c r="D26" s="90">
        <f t="shared" si="9"/>
        <v>9156.1038095237982</v>
      </c>
      <c r="E26" s="90">
        <f t="shared" si="0"/>
        <v>183.12207619047598</v>
      </c>
      <c r="F26" s="90">
        <f t="shared" si="4"/>
        <v>9339.2258857142842</v>
      </c>
      <c r="G26" s="90">
        <f>'A10'!I8</f>
        <v>23286.516666666659</v>
      </c>
      <c r="H26" s="90">
        <f t="shared" si="5"/>
        <v>23286.516666666659</v>
      </c>
      <c r="I26" s="90">
        <f t="shared" si="12"/>
        <v>23286.516666666659</v>
      </c>
      <c r="J26" s="90">
        <f t="shared" si="13"/>
        <v>87158.311183780475</v>
      </c>
      <c r="K26" s="90">
        <f t="shared" si="1"/>
        <v>19103.054357514462</v>
      </c>
      <c r="L26" s="90">
        <f t="shared" si="7"/>
        <v>13947.290780952375</v>
      </c>
      <c r="M26" s="90">
        <f t="shared" si="2"/>
        <v>11441.636280018707</v>
      </c>
      <c r="N26" s="131">
        <f>'Sit chegada'!$K$7*'Sit chegada'!$C$6</f>
        <v>22880</v>
      </c>
    </row>
    <row r="27" spans="1:14" x14ac:dyDescent="0.25">
      <c r="A27" s="97"/>
      <c r="B27" s="90">
        <f>SUM(B16:B26)</f>
        <v>86382.466666666674</v>
      </c>
      <c r="C27" s="96">
        <f>SUM(C17:C26)</f>
        <v>86382.46666666666</v>
      </c>
      <c r="D27" s="96"/>
      <c r="E27" s="96">
        <f t="shared" ref="E27:M27" si="14">SUM(E17:E26)</f>
        <v>9212.0713333333333</v>
      </c>
      <c r="F27" s="96">
        <f t="shared" si="14"/>
        <v>95594.538</v>
      </c>
      <c r="G27" s="96"/>
      <c r="H27" s="96">
        <f t="shared" si="14"/>
        <v>173540.77785044714</v>
      </c>
      <c r="I27" s="96">
        <f t="shared" si="14"/>
        <v>87158.311183780475</v>
      </c>
      <c r="J27" s="96"/>
      <c r="K27" s="96">
        <f t="shared" si="14"/>
        <v>70642.971992696679</v>
      </c>
      <c r="L27" s="96">
        <f t="shared" si="14"/>
        <v>77946.239850447149</v>
      </c>
      <c r="M27" s="96">
        <f t="shared" si="14"/>
        <v>68963.13508381549</v>
      </c>
      <c r="N27" s="2"/>
    </row>
    <row r="29" spans="1:14" x14ac:dyDescent="0.25">
      <c r="C29" s="98">
        <f>B27-C27</f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4" sqref="A4"/>
    </sheetView>
  </sheetViews>
  <sheetFormatPr defaultRowHeight="15" x14ac:dyDescent="0.25"/>
  <cols>
    <col min="1" max="1" width="15" style="1" customWidth="1"/>
    <col min="2" max="2" width="12.85546875" style="1" customWidth="1"/>
    <col min="3" max="3" width="11.7109375" style="1" bestFit="1" customWidth="1"/>
    <col min="4" max="5" width="9.140625" style="1"/>
    <col min="6" max="6" width="19.28515625" style="1" customWidth="1"/>
    <col min="7" max="7" width="14.28515625" style="1" customWidth="1"/>
    <col min="8" max="8" width="16.42578125" style="1" customWidth="1"/>
    <col min="9" max="9" width="12.42578125" style="1" customWidth="1"/>
    <col min="10" max="10" width="9.140625" style="1"/>
    <col min="11" max="11" width="16.7109375" style="1" customWidth="1"/>
    <col min="12" max="16384" width="9.140625" style="1"/>
  </cols>
  <sheetData>
    <row r="1" spans="1:11" x14ac:dyDescent="0.25">
      <c r="A1" s="47" t="s">
        <v>161</v>
      </c>
    </row>
    <row r="3" spans="1:11" x14ac:dyDescent="0.25">
      <c r="A3" s="47" t="s">
        <v>162</v>
      </c>
      <c r="F3" s="47" t="s">
        <v>163</v>
      </c>
    </row>
    <row r="4" spans="1:11" x14ac:dyDescent="0.25">
      <c r="A4" s="2" t="s">
        <v>164</v>
      </c>
      <c r="B4" s="299" t="s">
        <v>165</v>
      </c>
      <c r="C4" s="300"/>
      <c r="D4" s="300"/>
      <c r="F4" s="2" t="s">
        <v>308</v>
      </c>
      <c r="G4" s="301" t="s">
        <v>307</v>
      </c>
      <c r="H4" s="302"/>
      <c r="I4" s="303"/>
    </row>
    <row r="5" spans="1:11" x14ac:dyDescent="0.25">
      <c r="A5" s="2" t="s">
        <v>166</v>
      </c>
      <c r="B5" s="299" t="s">
        <v>167</v>
      </c>
      <c r="C5" s="300"/>
      <c r="D5" s="300"/>
      <c r="F5" s="2" t="s">
        <v>166</v>
      </c>
      <c r="G5" s="301" t="s">
        <v>167</v>
      </c>
      <c r="H5" s="302"/>
      <c r="I5" s="303"/>
    </row>
    <row r="6" spans="1:11" x14ac:dyDescent="0.25">
      <c r="A6" s="120" t="s">
        <v>168</v>
      </c>
      <c r="B6" s="121">
        <f>'Sit. inicial'!B7</f>
        <v>212613.67985646133</v>
      </c>
      <c r="C6" s="122" t="s">
        <v>169</v>
      </c>
      <c r="D6" s="123"/>
      <c r="F6" s="2" t="s">
        <v>170</v>
      </c>
      <c r="G6" s="304" t="s">
        <v>309</v>
      </c>
      <c r="H6" s="305"/>
      <c r="I6" s="305"/>
    </row>
    <row r="7" spans="1:11" x14ac:dyDescent="0.25">
      <c r="A7" s="124" t="s">
        <v>171</v>
      </c>
      <c r="B7" s="118">
        <f>B6/B8</f>
        <v>141.74245323764089</v>
      </c>
      <c r="C7" s="21" t="s">
        <v>169</v>
      </c>
      <c r="D7" s="3"/>
      <c r="F7" s="3"/>
      <c r="G7" s="123"/>
      <c r="H7" s="123"/>
      <c r="I7" s="123"/>
    </row>
    <row r="8" spans="1:11" x14ac:dyDescent="0.25">
      <c r="A8" s="15" t="s">
        <v>172</v>
      </c>
      <c r="B8" s="41">
        <f>'Sit. inicial'!D5</f>
        <v>1500</v>
      </c>
      <c r="C8" s="47" t="s">
        <v>87</v>
      </c>
      <c r="G8" s="47" t="s">
        <v>173</v>
      </c>
      <c r="H8" s="123"/>
      <c r="I8" s="296" t="s">
        <v>174</v>
      </c>
      <c r="J8" s="297"/>
      <c r="K8" s="298"/>
    </row>
    <row r="9" spans="1:11" x14ac:dyDescent="0.25">
      <c r="F9" s="125" t="s">
        <v>175</v>
      </c>
      <c r="G9" s="126" t="s">
        <v>176</v>
      </c>
      <c r="H9" s="48" t="s">
        <v>177</v>
      </c>
      <c r="I9" s="127" t="s">
        <v>178</v>
      </c>
      <c r="J9" s="47" t="s">
        <v>179</v>
      </c>
      <c r="K9" s="128" t="s">
        <v>180</v>
      </c>
    </row>
    <row r="10" spans="1:11" x14ac:dyDescent="0.25">
      <c r="F10" s="42">
        <f>B8</f>
        <v>1500</v>
      </c>
      <c r="G10" s="48">
        <f>'Sit chegada'!C5</f>
        <v>10</v>
      </c>
      <c r="H10" s="42">
        <f>TRUNC(F10/G10,0)</f>
        <v>150</v>
      </c>
      <c r="I10" s="90">
        <v>4000</v>
      </c>
      <c r="J10" s="44">
        <f>G10*I10</f>
        <v>40000</v>
      </c>
      <c r="K10" s="90">
        <f>H10*J10</f>
        <v>6000000</v>
      </c>
    </row>
    <row r="11" spans="1:11" x14ac:dyDescent="0.25">
      <c r="F11" s="129"/>
      <c r="G11" s="130"/>
      <c r="H11" s="123"/>
      <c r="I11" s="3"/>
      <c r="J11" s="123"/>
      <c r="K11" s="123"/>
    </row>
    <row r="12" spans="1:11" x14ac:dyDescent="0.25">
      <c r="H12" s="47"/>
    </row>
    <row r="13" spans="1:11" x14ac:dyDescent="0.25">
      <c r="B13" s="15" t="s">
        <v>181</v>
      </c>
      <c r="C13" s="131">
        <f>G14-B6</f>
        <v>3403266.3201435371</v>
      </c>
      <c r="F13" s="120" t="s">
        <v>182</v>
      </c>
      <c r="G13" s="97">
        <f>'Sit chegada'!I7</f>
        <v>24105.866666666658</v>
      </c>
      <c r="H13" s="47" t="s">
        <v>169</v>
      </c>
      <c r="I13" s="47"/>
    </row>
    <row r="14" spans="1:11" x14ac:dyDescent="0.25">
      <c r="B14" s="15" t="s">
        <v>183</v>
      </c>
      <c r="C14" s="262">
        <f>G16-B6</f>
        <v>3088266.3201435371</v>
      </c>
      <c r="F14" s="120" t="s">
        <v>184</v>
      </c>
      <c r="G14" s="131">
        <f>G13*H10</f>
        <v>3615879.9999999986</v>
      </c>
      <c r="H14" s="47" t="s">
        <v>169</v>
      </c>
      <c r="I14" s="47"/>
    </row>
    <row r="15" spans="1:11" x14ac:dyDescent="0.25">
      <c r="F15" s="132" t="s">
        <v>185</v>
      </c>
      <c r="G15" s="131">
        <f>G13-'Sit chegada'!F14</f>
        <v>22005.866666666658</v>
      </c>
      <c r="H15" s="47"/>
      <c r="I15" s="47"/>
    </row>
    <row r="16" spans="1:11" x14ac:dyDescent="0.25">
      <c r="B16" s="2" t="s">
        <v>332</v>
      </c>
      <c r="C16" s="50">
        <f>C14/B6</f>
        <v>14.525247492204979</v>
      </c>
      <c r="F16" s="132" t="s">
        <v>186</v>
      </c>
      <c r="G16" s="131">
        <f>G15*H10</f>
        <v>3300879.9999999986</v>
      </c>
      <c r="H16" s="47"/>
      <c r="I16" s="47"/>
    </row>
    <row r="17" spans="6:8" x14ac:dyDescent="0.25">
      <c r="F17" s="132" t="s">
        <v>171</v>
      </c>
      <c r="G17" s="131">
        <f>G14/B8</f>
        <v>2410.5866666666657</v>
      </c>
      <c r="H17" s="21" t="s">
        <v>187</v>
      </c>
    </row>
    <row r="18" spans="6:8" x14ac:dyDescent="0.25">
      <c r="F18" s="133" t="s">
        <v>188</v>
      </c>
      <c r="G18" s="131">
        <f>G14/G21</f>
        <v>12052.933333333329</v>
      </c>
      <c r="H18" s="47" t="s">
        <v>169</v>
      </c>
    </row>
    <row r="20" spans="6:8" x14ac:dyDescent="0.25">
      <c r="F20" s="15" t="s">
        <v>189</v>
      </c>
      <c r="G20" s="2">
        <f>'Sit chegada'!C6</f>
        <v>2</v>
      </c>
    </row>
    <row r="21" spans="6:8" x14ac:dyDescent="0.25">
      <c r="F21" s="15" t="s">
        <v>190</v>
      </c>
      <c r="G21" s="2">
        <f>H10*G20</f>
        <v>300</v>
      </c>
    </row>
  </sheetData>
  <mergeCells count="6">
    <mergeCell ref="I8:K8"/>
    <mergeCell ref="B4:D4"/>
    <mergeCell ref="G4:I4"/>
    <mergeCell ref="B5:D5"/>
    <mergeCell ref="G5:I5"/>
    <mergeCell ref="G6:I6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workbookViewId="0">
      <selection activeCell="C17" sqref="C17"/>
    </sheetView>
  </sheetViews>
  <sheetFormatPr defaultRowHeight="12.75" x14ac:dyDescent="0.2"/>
  <cols>
    <col min="1" max="1" width="18.5703125" style="47" customWidth="1"/>
    <col min="2" max="2" width="14.42578125" style="47" customWidth="1"/>
    <col min="3" max="3" width="13.85546875" style="47" customWidth="1"/>
    <col min="4" max="4" width="13.42578125" style="47" customWidth="1"/>
    <col min="5" max="5" width="11.85546875" style="47" customWidth="1"/>
    <col min="6" max="6" width="13" style="47" customWidth="1"/>
    <col min="7" max="7" width="11.42578125" style="47" bestFit="1" customWidth="1"/>
    <col min="8" max="8" width="14.28515625" style="47" customWidth="1"/>
    <col min="9" max="9" width="17.140625" style="47" customWidth="1"/>
    <col min="10" max="10" width="11.5703125" style="47" customWidth="1"/>
    <col min="11" max="16384" width="9.140625" style="47"/>
  </cols>
  <sheetData>
    <row r="1" spans="1:17" x14ac:dyDescent="0.2">
      <c r="A1" s="47" t="s">
        <v>225</v>
      </c>
    </row>
    <row r="2" spans="1:17" x14ac:dyDescent="0.2">
      <c r="A2" s="21"/>
      <c r="B2" s="21"/>
      <c r="C2" s="170"/>
      <c r="D2" s="21"/>
      <c r="E2" s="171"/>
    </row>
    <row r="3" spans="1:17" x14ac:dyDescent="0.2">
      <c r="A3" s="120" t="s">
        <v>226</v>
      </c>
      <c r="B3" s="172">
        <v>1.77</v>
      </c>
      <c r="C3" s="21"/>
      <c r="D3" s="170"/>
      <c r="E3" s="21"/>
      <c r="J3" s="173"/>
    </row>
    <row r="4" spans="1:17" x14ac:dyDescent="0.2">
      <c r="B4" s="125" t="s">
        <v>227</v>
      </c>
      <c r="C4" s="174"/>
      <c r="D4" s="15" t="s">
        <v>228</v>
      </c>
      <c r="E4" s="15"/>
      <c r="F4" s="15" t="s">
        <v>229</v>
      </c>
      <c r="G4" s="120"/>
      <c r="H4" s="125" t="s">
        <v>230</v>
      </c>
      <c r="J4" s="21"/>
    </row>
    <row r="5" spans="1:17" x14ac:dyDescent="0.2">
      <c r="A5" s="175" t="s">
        <v>231</v>
      </c>
      <c r="B5" s="176" t="s">
        <v>232</v>
      </c>
      <c r="C5" s="177" t="s">
        <v>233</v>
      </c>
      <c r="D5" s="48" t="s">
        <v>234</v>
      </c>
      <c r="E5" s="48" t="s">
        <v>235</v>
      </c>
      <c r="F5" s="48" t="s">
        <v>234</v>
      </c>
      <c r="G5" s="175" t="s">
        <v>236</v>
      </c>
      <c r="H5" s="176" t="s">
        <v>237</v>
      </c>
      <c r="J5" s="178"/>
    </row>
    <row r="6" spans="1:17" x14ac:dyDescent="0.2">
      <c r="A6" s="179">
        <v>617.92174365340452</v>
      </c>
      <c r="B6" s="180">
        <v>697.99999999999989</v>
      </c>
      <c r="C6" s="180">
        <f>B6*A6</f>
        <v>431309.3770700763</v>
      </c>
      <c r="D6" s="181">
        <f t="shared" ref="D6:E15" si="0">B6/B$16</f>
        <v>0.34899999999999992</v>
      </c>
      <c r="E6" s="181">
        <f t="shared" si="0"/>
        <v>2.1565468853503814E-2</v>
      </c>
      <c r="F6" s="181">
        <f>D6</f>
        <v>0.34899999999999992</v>
      </c>
      <c r="G6" s="181">
        <f>E6</f>
        <v>2.1565468853503814E-2</v>
      </c>
      <c r="H6" s="182">
        <f>G6*D6/2</f>
        <v>3.7631743149364148E-3</v>
      </c>
      <c r="J6" s="21"/>
    </row>
    <row r="7" spans="1:17" x14ac:dyDescent="0.2">
      <c r="A7" s="180">
        <f t="shared" ref="A7:A15" si="1">(A6*B$3)</f>
        <v>1093.721486266526</v>
      </c>
      <c r="B7" s="180">
        <v>272</v>
      </c>
      <c r="C7" s="180">
        <f t="shared" ref="C7:C15" si="2">B7*A7</f>
        <v>297492.24426449509</v>
      </c>
      <c r="D7" s="181">
        <f t="shared" si="0"/>
        <v>0.13600000000000001</v>
      </c>
      <c r="E7" s="181">
        <f t="shared" si="0"/>
        <v>1.4874612213224754E-2</v>
      </c>
      <c r="F7" s="181">
        <f>D7+F6</f>
        <v>0.48499999999999993</v>
      </c>
      <c r="G7" s="181">
        <f>E7+G6</f>
        <v>3.6440081066728566E-2</v>
      </c>
      <c r="H7" s="183">
        <f>(G7+G6)*D7/2</f>
        <v>3.9443773945758024E-3</v>
      </c>
      <c r="J7" s="21"/>
      <c r="Q7" s="184"/>
    </row>
    <row r="8" spans="1:17" x14ac:dyDescent="0.2">
      <c r="A8" s="180">
        <f t="shared" si="1"/>
        <v>1935.8870306917511</v>
      </c>
      <c r="B8" s="180">
        <v>226</v>
      </c>
      <c r="C8" s="180">
        <f t="shared" si="2"/>
        <v>437510.46893633576</v>
      </c>
      <c r="D8" s="181">
        <f t="shared" si="0"/>
        <v>0.113</v>
      </c>
      <c r="E8" s="181">
        <f t="shared" si="0"/>
        <v>2.1875523446816789E-2</v>
      </c>
      <c r="F8" s="181">
        <f t="shared" ref="F8:G15" si="3">D8+F7</f>
        <v>0.59799999999999998</v>
      </c>
      <c r="G8" s="181">
        <f t="shared" si="3"/>
        <v>5.8315604513545352E-2</v>
      </c>
      <c r="H8" s="183">
        <f t="shared" ref="H8:H13" si="4">(G8+G7)*D8/2</f>
        <v>5.3536962352854767E-3</v>
      </c>
      <c r="J8" s="21"/>
    </row>
    <row r="9" spans="1:17" x14ac:dyDescent="0.2">
      <c r="A9" s="180">
        <f t="shared" si="1"/>
        <v>3426.5200443243994</v>
      </c>
      <c r="B9" s="180">
        <v>188</v>
      </c>
      <c r="C9" s="180">
        <f t="shared" si="2"/>
        <v>644185.76833298709</v>
      </c>
      <c r="D9" s="181">
        <f t="shared" si="0"/>
        <v>9.4E-2</v>
      </c>
      <c r="E9" s="181">
        <f t="shared" si="0"/>
        <v>3.2209288416649356E-2</v>
      </c>
      <c r="F9" s="181">
        <f t="shared" si="3"/>
        <v>0.69199999999999995</v>
      </c>
      <c r="G9" s="181">
        <f t="shared" si="3"/>
        <v>9.0524892930194709E-2</v>
      </c>
      <c r="H9" s="183">
        <f t="shared" si="4"/>
        <v>6.9955033798557833E-3</v>
      </c>
      <c r="J9" s="21"/>
    </row>
    <row r="10" spans="1:17" x14ac:dyDescent="0.2">
      <c r="A10" s="180">
        <f t="shared" si="1"/>
        <v>6064.9404784541866</v>
      </c>
      <c r="B10" s="180">
        <f>156</f>
        <v>156</v>
      </c>
      <c r="C10" s="180">
        <f t="shared" si="2"/>
        <v>946130.7146388531</v>
      </c>
      <c r="D10" s="181">
        <f t="shared" si="0"/>
        <v>7.8E-2</v>
      </c>
      <c r="E10" s="181">
        <f t="shared" si="0"/>
        <v>4.7306535731942656E-2</v>
      </c>
      <c r="F10" s="181">
        <f t="shared" si="3"/>
        <v>0.76999999999999991</v>
      </c>
      <c r="G10" s="181">
        <f t="shared" si="3"/>
        <v>0.13783142866213738</v>
      </c>
      <c r="H10" s="183">
        <f t="shared" si="4"/>
        <v>8.9058965421009526E-3</v>
      </c>
      <c r="J10" s="21"/>
    </row>
    <row r="11" spans="1:17" x14ac:dyDescent="0.2">
      <c r="A11" s="180">
        <f t="shared" si="1"/>
        <v>10734.944646863911</v>
      </c>
      <c r="B11" s="180">
        <v>129</v>
      </c>
      <c r="C11" s="180">
        <f t="shared" si="2"/>
        <v>1384807.8594454445</v>
      </c>
      <c r="D11" s="181">
        <f t="shared" si="0"/>
        <v>6.4500000000000002E-2</v>
      </c>
      <c r="E11" s="181">
        <f t="shared" si="0"/>
        <v>6.9240392972272233E-2</v>
      </c>
      <c r="F11" s="181">
        <f t="shared" si="3"/>
        <v>0.83449999999999991</v>
      </c>
      <c r="G11" s="181">
        <f t="shared" si="3"/>
        <v>0.20707182163440963</v>
      </c>
      <c r="H11" s="183">
        <f t="shared" si="4"/>
        <v>1.1123129822063642E-2</v>
      </c>
      <c r="J11" s="21"/>
    </row>
    <row r="12" spans="1:17" x14ac:dyDescent="0.2">
      <c r="A12" s="180">
        <f t="shared" si="1"/>
        <v>19000.852024949123</v>
      </c>
      <c r="B12" s="180">
        <v>107</v>
      </c>
      <c r="C12" s="180">
        <f t="shared" si="2"/>
        <v>2033091.1666695562</v>
      </c>
      <c r="D12" s="181">
        <f t="shared" si="0"/>
        <v>5.3499999999999999E-2</v>
      </c>
      <c r="E12" s="181">
        <f t="shared" si="0"/>
        <v>0.10165455833347781</v>
      </c>
      <c r="F12" s="181">
        <f t="shared" si="3"/>
        <v>0.8879999999999999</v>
      </c>
      <c r="G12" s="181">
        <f t="shared" si="3"/>
        <v>0.30872637996788743</v>
      </c>
      <c r="H12" s="183">
        <f t="shared" si="4"/>
        <v>1.3797601892861446E-2</v>
      </c>
      <c r="J12" s="21"/>
    </row>
    <row r="13" spans="1:17" x14ac:dyDescent="0.2">
      <c r="A13" s="180">
        <f t="shared" si="1"/>
        <v>33631.508084159948</v>
      </c>
      <c r="B13" s="180">
        <v>89</v>
      </c>
      <c r="C13" s="180">
        <f t="shared" si="2"/>
        <v>2993204.2194902352</v>
      </c>
      <c r="D13" s="181">
        <f t="shared" si="0"/>
        <v>4.4499999999999998E-2</v>
      </c>
      <c r="E13" s="181">
        <f t="shared" si="0"/>
        <v>0.14966021097451176</v>
      </c>
      <c r="F13" s="181">
        <f t="shared" si="3"/>
        <v>0.93249999999999988</v>
      </c>
      <c r="G13" s="181">
        <f t="shared" si="3"/>
        <v>0.4583865909423992</v>
      </c>
      <c r="H13" s="183">
        <f t="shared" si="4"/>
        <v>1.7068263602753878E-2</v>
      </c>
      <c r="J13" s="21"/>
    </row>
    <row r="14" spans="1:17" x14ac:dyDescent="0.2">
      <c r="A14" s="180">
        <f t="shared" si="1"/>
        <v>59527.769308963107</v>
      </c>
      <c r="B14" s="180">
        <v>74</v>
      </c>
      <c r="C14" s="180">
        <f t="shared" si="2"/>
        <v>4405054.9288632702</v>
      </c>
      <c r="D14" s="181">
        <f t="shared" si="0"/>
        <v>3.6999999999999998E-2</v>
      </c>
      <c r="E14" s="181">
        <f t="shared" si="0"/>
        <v>0.22025274644316351</v>
      </c>
      <c r="F14" s="181">
        <f t="shared" si="3"/>
        <v>0.96949999999999992</v>
      </c>
      <c r="G14" s="181">
        <f t="shared" si="3"/>
        <v>0.6786393373855627</v>
      </c>
      <c r="H14" s="183">
        <f>(G14+G7)*D14/2</f>
        <v>1.3228969241367388E-2</v>
      </c>
      <c r="J14" s="21"/>
    </row>
    <row r="15" spans="1:17" x14ac:dyDescent="0.2">
      <c r="A15" s="180">
        <f t="shared" si="1"/>
        <v>105364.1516768647</v>
      </c>
      <c r="B15" s="180">
        <v>61</v>
      </c>
      <c r="C15" s="180">
        <f t="shared" si="2"/>
        <v>6427213.2522887466</v>
      </c>
      <c r="D15" s="181">
        <f t="shared" si="0"/>
        <v>3.0499999999999999E-2</v>
      </c>
      <c r="E15" s="181">
        <f t="shared" si="0"/>
        <v>0.32136066261443735</v>
      </c>
      <c r="F15" s="181">
        <f t="shared" si="3"/>
        <v>0.99999999999999989</v>
      </c>
      <c r="G15" s="181">
        <f t="shared" si="3"/>
        <v>1</v>
      </c>
      <c r="H15" s="183">
        <f>(G15+G7)*D15/2</f>
        <v>1.580571123626761E-2</v>
      </c>
      <c r="J15" s="21"/>
      <c r="Q15" s="184"/>
    </row>
    <row r="16" spans="1:17" x14ac:dyDescent="0.2">
      <c r="A16" s="185"/>
      <c r="B16" s="185">
        <f>SUM(B6:B15)</f>
        <v>2000</v>
      </c>
      <c r="C16" s="186">
        <f>SUM(C6:C15)</f>
        <v>20000000</v>
      </c>
      <c r="D16" s="48">
        <f>SUM(D6:D15)</f>
        <v>0.99999999999999989</v>
      </c>
      <c r="E16" s="48">
        <f>SUM(E6:E15)</f>
        <v>1</v>
      </c>
      <c r="F16" s="48"/>
      <c r="G16" s="48"/>
      <c r="H16" s="187">
        <f>SUM(H6:H15)</f>
        <v>9.9986323662068388E-2</v>
      </c>
      <c r="J16" s="188"/>
    </row>
    <row r="17" spans="1:13" ht="13.5" thickBot="1" x14ac:dyDescent="0.25">
      <c r="C17" s="189">
        <f>Efeitos!D5</f>
        <v>20000000</v>
      </c>
      <c r="H17" s="21"/>
      <c r="J17" s="21"/>
    </row>
    <row r="18" spans="1:13" ht="13.5" thickBot="1" x14ac:dyDescent="0.25">
      <c r="A18" s="190" t="s">
        <v>238</v>
      </c>
      <c r="B18" s="191"/>
      <c r="C18" s="192">
        <f>1-(2*H16)</f>
        <v>0.80002735267586322</v>
      </c>
      <c r="D18" s="193">
        <f>C16-C17</f>
        <v>0</v>
      </c>
      <c r="H18" s="21"/>
      <c r="I18" s="21"/>
      <c r="J18" s="21"/>
      <c r="K18" s="21"/>
      <c r="L18" s="21"/>
      <c r="M18" s="21"/>
    </row>
    <row r="19" spans="1:13" x14ac:dyDescent="0.2">
      <c r="H19" s="21"/>
      <c r="I19" s="194"/>
      <c r="J19" s="195"/>
      <c r="K19" s="195"/>
      <c r="L19" s="195"/>
      <c r="M19" s="21"/>
    </row>
    <row r="20" spans="1:13" x14ac:dyDescent="0.2">
      <c r="A20" s="29" t="s">
        <v>239</v>
      </c>
      <c r="B20" s="29">
        <f>C16/B16</f>
        <v>10000</v>
      </c>
      <c r="C20" s="173"/>
      <c r="G20" s="173"/>
      <c r="H20" s="173"/>
      <c r="I20" s="195"/>
      <c r="J20" s="195"/>
      <c r="K20" s="195"/>
      <c r="L20" s="21"/>
      <c r="M20" s="21"/>
    </row>
    <row r="21" spans="1:13" x14ac:dyDescent="0.2">
      <c r="A21" s="15" t="s">
        <v>240</v>
      </c>
      <c r="B21" s="196">
        <f>(B22/B16)*((B6*A6^B23+B7*A7^B23+B8*A8^B23+B9*A9^B23+B10*A10^B23+B11*A11^B23+B12*A12^B23+B13*A13^B23+B14*A14^B23+B15*A15^B23)/B20^B23)</f>
        <v>4.2049694420866581</v>
      </c>
      <c r="C21" s="197"/>
      <c r="G21" s="21"/>
      <c r="H21" s="173"/>
      <c r="I21" s="195"/>
      <c r="J21" s="195"/>
      <c r="K21" s="195"/>
      <c r="L21" s="21"/>
      <c r="M21" s="21"/>
    </row>
    <row r="22" spans="1:13" x14ac:dyDescent="0.2">
      <c r="A22" s="15" t="s">
        <v>241</v>
      </c>
      <c r="B22" s="198">
        <v>5.5550795915922775</v>
      </c>
      <c r="C22" s="195"/>
      <c r="G22" s="21"/>
      <c r="H22" s="173"/>
      <c r="I22" s="195"/>
      <c r="J22" s="195"/>
      <c r="K22" s="195"/>
      <c r="L22" s="21"/>
      <c r="M22" s="21"/>
    </row>
    <row r="23" spans="1:13" x14ac:dyDescent="0.2">
      <c r="A23" s="15" t="s">
        <v>242</v>
      </c>
      <c r="B23" s="13">
        <v>0.7</v>
      </c>
      <c r="C23" s="195"/>
      <c r="G23" s="21"/>
      <c r="H23" s="21"/>
      <c r="J23" s="195"/>
      <c r="K23" s="195"/>
      <c r="L23" s="21"/>
      <c r="M23" s="21"/>
    </row>
    <row r="24" spans="1:13" x14ac:dyDescent="0.2">
      <c r="A24" s="29" t="s">
        <v>243</v>
      </c>
      <c r="B24" s="199">
        <f>B21/B22</f>
        <v>0.75695935094268718</v>
      </c>
      <c r="C24" s="200"/>
      <c r="G24" s="21"/>
      <c r="H24" s="178"/>
      <c r="I24" s="195"/>
      <c r="J24" s="195"/>
      <c r="K24" s="195"/>
      <c r="L24" s="21"/>
      <c r="M24" s="21"/>
    </row>
    <row r="25" spans="1:13" x14ac:dyDescent="0.2">
      <c r="A25" s="21"/>
      <c r="B25" s="21"/>
      <c r="C25" s="21"/>
      <c r="H25" s="21"/>
      <c r="I25" s="194"/>
    </row>
    <row r="26" spans="1:13" x14ac:dyDescent="0.2">
      <c r="A26" s="21"/>
      <c r="B26" s="21"/>
      <c r="C26" s="21"/>
      <c r="H26" s="178"/>
      <c r="I26" s="195"/>
    </row>
    <row r="27" spans="1:13" x14ac:dyDescent="0.2">
      <c r="A27" s="21"/>
      <c r="B27" s="21"/>
      <c r="C27" s="21"/>
      <c r="H27" s="178"/>
      <c r="I27" s="195"/>
    </row>
    <row r="28" spans="1:13" x14ac:dyDescent="0.2">
      <c r="A28" s="195"/>
      <c r="B28" s="195"/>
      <c r="C28" s="195"/>
      <c r="D28" s="195"/>
      <c r="E28" s="195"/>
      <c r="H28" s="178"/>
      <c r="I28" s="195"/>
    </row>
    <row r="29" spans="1:13" x14ac:dyDescent="0.2">
      <c r="A29" s="194"/>
      <c r="B29" s="194"/>
      <c r="C29" s="201"/>
      <c r="D29" s="201"/>
      <c r="E29" s="195"/>
      <c r="H29" s="178"/>
      <c r="I29" s="195"/>
    </row>
    <row r="30" spans="1:13" x14ac:dyDescent="0.2">
      <c r="A30" s="194"/>
      <c r="B30" s="194"/>
      <c r="C30" s="201"/>
      <c r="D30" s="201"/>
      <c r="E30" s="195"/>
      <c r="H30" s="178"/>
      <c r="I30" s="195"/>
    </row>
    <row r="31" spans="1:13" x14ac:dyDescent="0.2">
      <c r="A31" s="194"/>
      <c r="B31" s="194"/>
      <c r="C31" s="201"/>
      <c r="D31" s="201"/>
      <c r="E31" s="195"/>
      <c r="H31" s="178"/>
      <c r="I31" s="195"/>
    </row>
    <row r="32" spans="1:13" x14ac:dyDescent="0.2">
      <c r="A32" s="194"/>
      <c r="B32" s="194"/>
      <c r="C32" s="201"/>
      <c r="D32" s="201"/>
      <c r="E32" s="195"/>
      <c r="H32" s="178"/>
      <c r="I32" s="195"/>
    </row>
    <row r="33" spans="1:9" x14ac:dyDescent="0.2">
      <c r="A33" s="194"/>
      <c r="B33" s="194"/>
      <c r="C33" s="201"/>
      <c r="D33" s="201"/>
      <c r="E33" s="195"/>
      <c r="H33" s="178"/>
      <c r="I33" s="195"/>
    </row>
    <row r="34" spans="1:9" x14ac:dyDescent="0.2">
      <c r="A34" s="21"/>
      <c r="B34" s="21"/>
      <c r="C34" s="21"/>
      <c r="D34" s="21"/>
      <c r="E34" s="21"/>
      <c r="H34" s="178"/>
      <c r="I34" s="195"/>
    </row>
    <row r="35" spans="1:9" x14ac:dyDescent="0.2">
      <c r="A35" s="21"/>
      <c r="B35" s="21"/>
      <c r="C35" s="21"/>
      <c r="D35" s="21"/>
      <c r="E35" s="21"/>
      <c r="H35" s="178"/>
      <c r="I35" s="195"/>
    </row>
    <row r="36" spans="1:9" x14ac:dyDescent="0.2">
      <c r="A36" s="21"/>
      <c r="B36" s="21"/>
      <c r="C36" s="202"/>
      <c r="D36" s="21"/>
      <c r="E36" s="21"/>
      <c r="G36" s="21"/>
      <c r="H36" s="178"/>
      <c r="I36" s="178"/>
    </row>
    <row r="37" spans="1:9" x14ac:dyDescent="0.2">
      <c r="H37" s="21"/>
      <c r="I37" s="21"/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workbookViewId="0">
      <selection activeCell="D18" sqref="D18"/>
    </sheetView>
  </sheetViews>
  <sheetFormatPr defaultRowHeight="12.75" x14ac:dyDescent="0.2"/>
  <cols>
    <col min="1" max="1" width="18.42578125" style="47" customWidth="1"/>
    <col min="2" max="2" width="14.42578125" style="47" customWidth="1"/>
    <col min="3" max="3" width="13.28515625" style="47" customWidth="1"/>
    <col min="4" max="4" width="13.42578125" style="47" customWidth="1"/>
    <col min="5" max="5" width="11.85546875" style="47" customWidth="1"/>
    <col min="6" max="6" width="13" style="47" customWidth="1"/>
    <col min="7" max="7" width="11.42578125" style="47" bestFit="1" customWidth="1"/>
    <col min="8" max="8" width="13.7109375" style="47" customWidth="1"/>
    <col min="9" max="9" width="12" style="47" customWidth="1"/>
    <col min="10" max="10" width="11.5703125" style="47" customWidth="1"/>
    <col min="11" max="16384" width="9.140625" style="47"/>
  </cols>
  <sheetData>
    <row r="1" spans="1:17" x14ac:dyDescent="0.2">
      <c r="A1" s="47" t="s">
        <v>244</v>
      </c>
    </row>
    <row r="2" spans="1:17" x14ac:dyDescent="0.2">
      <c r="A2" s="21"/>
      <c r="B2" s="21"/>
      <c r="C2" s="170"/>
      <c r="D2" s="21"/>
      <c r="E2" s="171"/>
    </row>
    <row r="3" spans="1:17" x14ac:dyDescent="0.2">
      <c r="A3" s="120" t="s">
        <v>226</v>
      </c>
      <c r="B3" s="265">
        <v>1.7912717354980039</v>
      </c>
      <c r="C3" s="21"/>
      <c r="D3" s="170"/>
      <c r="E3" s="21"/>
      <c r="J3" s="173"/>
    </row>
    <row r="4" spans="1:17" x14ac:dyDescent="0.2">
      <c r="B4" s="203" t="s">
        <v>227</v>
      </c>
      <c r="D4" s="15" t="s">
        <v>228</v>
      </c>
      <c r="E4" s="15"/>
      <c r="F4" s="15" t="s">
        <v>229</v>
      </c>
      <c r="G4" s="120"/>
      <c r="H4" s="125" t="s">
        <v>230</v>
      </c>
      <c r="J4" s="21"/>
    </row>
    <row r="5" spans="1:17" x14ac:dyDescent="0.2">
      <c r="A5" s="175" t="s">
        <v>245</v>
      </c>
      <c r="B5" s="176" t="s">
        <v>232</v>
      </c>
      <c r="C5" s="177" t="s">
        <v>246</v>
      </c>
      <c r="D5" s="48" t="s">
        <v>234</v>
      </c>
      <c r="E5" s="48" t="s">
        <v>235</v>
      </c>
      <c r="F5" s="48" t="s">
        <v>234</v>
      </c>
      <c r="G5" s="175" t="s">
        <v>236</v>
      </c>
      <c r="H5" s="176" t="s">
        <v>237</v>
      </c>
      <c r="J5" s="178"/>
    </row>
    <row r="6" spans="1:17" x14ac:dyDescent="0.2">
      <c r="A6" s="179">
        <v>617.92174365340452</v>
      </c>
      <c r="B6" s="180">
        <v>697.99999999999989</v>
      </c>
      <c r="C6" s="180">
        <f>B6*A6</f>
        <v>431309.3770700763</v>
      </c>
      <c r="D6" s="181">
        <f t="shared" ref="D6:E15" si="0">B6/B$16</f>
        <v>0.30347826086956514</v>
      </c>
      <c r="E6" s="181">
        <f t="shared" si="0"/>
        <v>1.8228548938921181E-2</v>
      </c>
      <c r="F6" s="181">
        <f>D6</f>
        <v>0.30347826086956514</v>
      </c>
      <c r="G6" s="181">
        <f>E6</f>
        <v>1.8228548938921181E-2</v>
      </c>
      <c r="H6" s="182">
        <f>G6*D6/2</f>
        <v>2.7659841650797784E-3</v>
      </c>
      <c r="J6" s="21"/>
    </row>
    <row r="7" spans="1:17" x14ac:dyDescent="0.2">
      <c r="A7" s="180">
        <f t="shared" ref="A7:A15" si="1">(A6*B$3)</f>
        <v>1106.8657541559867</v>
      </c>
      <c r="B7" s="180">
        <v>272</v>
      </c>
      <c r="C7" s="180">
        <f t="shared" ref="C7:C15" si="2">B7*A7</f>
        <v>301067.48513042839</v>
      </c>
      <c r="D7" s="181">
        <f t="shared" si="0"/>
        <v>0.11826086956521739</v>
      </c>
      <c r="E7" s="181">
        <f t="shared" si="0"/>
        <v>1.2724099401451876E-2</v>
      </c>
      <c r="F7" s="181">
        <f>D7+F6</f>
        <v>0.42173913043478251</v>
      </c>
      <c r="G7" s="181">
        <f>E7+G6</f>
        <v>3.0952648340373055E-2</v>
      </c>
      <c r="H7" s="183">
        <f>(G7+G6)*D7/2</f>
        <v>2.9081055782539202E-3</v>
      </c>
      <c r="J7" s="21"/>
      <c r="Q7" s="184"/>
    </row>
    <row r="8" spans="1:17" x14ac:dyDescent="0.2">
      <c r="A8" s="180">
        <f t="shared" si="1"/>
        <v>1982.6973404103012</v>
      </c>
      <c r="B8" s="180">
        <v>226</v>
      </c>
      <c r="C8" s="180">
        <f t="shared" si="2"/>
        <v>448089.59893272805</v>
      </c>
      <c r="D8" s="181">
        <f t="shared" si="0"/>
        <v>9.8260869565217387E-2</v>
      </c>
      <c r="E8" s="181">
        <f t="shared" si="0"/>
        <v>1.8937736152765609E-2</v>
      </c>
      <c r="F8" s="181">
        <f t="shared" ref="F8:G15" si="3">D8+F7</f>
        <v>0.51999999999999991</v>
      </c>
      <c r="G8" s="181">
        <f t="shared" si="3"/>
        <v>4.9890384493138665E-2</v>
      </c>
      <c r="H8" s="183">
        <f t="shared" ref="H8:H13" si="4">(G8+G7)*D8/2</f>
        <v>3.9718533522551409E-3</v>
      </c>
      <c r="J8" s="21"/>
    </row>
    <row r="9" spans="1:17" x14ac:dyDescent="0.2">
      <c r="A9" s="180">
        <f t="shared" si="1"/>
        <v>3551.549705924037</v>
      </c>
      <c r="B9" s="180">
        <v>188</v>
      </c>
      <c r="C9" s="180">
        <f t="shared" si="2"/>
        <v>667691.34471371898</v>
      </c>
      <c r="D9" s="181">
        <f t="shared" si="0"/>
        <v>8.1739130434782606E-2</v>
      </c>
      <c r="E9" s="181">
        <f t="shared" si="0"/>
        <v>2.8218826207505914E-2</v>
      </c>
      <c r="F9" s="181">
        <f t="shared" si="3"/>
        <v>0.60173913043478255</v>
      </c>
      <c r="G9" s="181">
        <f t="shared" si="3"/>
        <v>7.8109210700644582E-2</v>
      </c>
      <c r="H9" s="183">
        <f t="shared" si="4"/>
        <v>5.2312878035720104E-3</v>
      </c>
      <c r="J9" s="21"/>
    </row>
    <row r="10" spans="1:17" x14ac:dyDescent="0.2">
      <c r="A10" s="180">
        <f t="shared" si="1"/>
        <v>6361.7906054379755</v>
      </c>
      <c r="B10" s="261">
        <f>156+'VA Direto'!G21</f>
        <v>456</v>
      </c>
      <c r="C10" s="180">
        <f t="shared" si="2"/>
        <v>2900976.5160797169</v>
      </c>
      <c r="D10" s="181">
        <f t="shared" si="0"/>
        <v>0.19826086956521738</v>
      </c>
      <c r="E10" s="181">
        <f t="shared" si="0"/>
        <v>0.12260478256522696</v>
      </c>
      <c r="F10" s="181">
        <f t="shared" si="3"/>
        <v>0.79999999999999993</v>
      </c>
      <c r="G10" s="181">
        <f t="shared" si="3"/>
        <v>0.20071399326587153</v>
      </c>
      <c r="H10" s="183">
        <f t="shared" si="4"/>
        <v>2.7639865436680726E-2</v>
      </c>
      <c r="J10" s="21"/>
    </row>
    <row r="11" spans="1:17" x14ac:dyDescent="0.2">
      <c r="A11" s="180">
        <f t="shared" si="1"/>
        <v>11395.695698677779</v>
      </c>
      <c r="B11" s="180">
        <f>129</f>
        <v>129</v>
      </c>
      <c r="C11" s="180">
        <f t="shared" si="2"/>
        <v>1470044.7451294335</v>
      </c>
      <c r="D11" s="181">
        <f t="shared" si="0"/>
        <v>5.6086956521739131E-2</v>
      </c>
      <c r="E11" s="181">
        <f t="shared" si="0"/>
        <v>6.2128912570899267E-2</v>
      </c>
      <c r="F11" s="181">
        <f t="shared" si="3"/>
        <v>0.85608695652173905</v>
      </c>
      <c r="G11" s="181">
        <f t="shared" si="3"/>
        <v>0.26284290583677078</v>
      </c>
      <c r="H11" s="183">
        <f t="shared" si="4"/>
        <v>1.2999747822661056E-2</v>
      </c>
      <c r="J11" s="21"/>
    </row>
    <row r="12" spans="1:17" x14ac:dyDescent="0.2">
      <c r="A12" s="180">
        <f t="shared" si="1"/>
        <v>20412.787611377684</v>
      </c>
      <c r="B12" s="180">
        <v>107</v>
      </c>
      <c r="C12" s="180">
        <f t="shared" si="2"/>
        <v>2184168.274417412</v>
      </c>
      <c r="D12" s="181">
        <f t="shared" si="0"/>
        <v>4.652173913043478E-2</v>
      </c>
      <c r="E12" s="181">
        <f t="shared" si="0"/>
        <v>9.2310115192761222E-2</v>
      </c>
      <c r="F12" s="181">
        <f t="shared" si="3"/>
        <v>0.90260869565217383</v>
      </c>
      <c r="G12" s="181">
        <f t="shared" si="3"/>
        <v>0.355153021029532</v>
      </c>
      <c r="H12" s="183">
        <f t="shared" si="4"/>
        <v>1.4375122646672695E-2</v>
      </c>
      <c r="J12" s="21"/>
    </row>
    <row r="13" spans="1:17" x14ac:dyDescent="0.2">
      <c r="A13" s="180">
        <f t="shared" si="1"/>
        <v>36564.849490984656</v>
      </c>
      <c r="B13" s="180">
        <v>89</v>
      </c>
      <c r="C13" s="180">
        <f t="shared" si="2"/>
        <v>3254271.6046976345</v>
      </c>
      <c r="D13" s="181">
        <f t="shared" si="0"/>
        <v>3.8695652173913041E-2</v>
      </c>
      <c r="E13" s="181">
        <f t="shared" si="0"/>
        <v>0.13753619179286791</v>
      </c>
      <c r="F13" s="181">
        <f t="shared" si="3"/>
        <v>0.94130434782608685</v>
      </c>
      <c r="G13" s="181">
        <f t="shared" si="3"/>
        <v>0.49268921282239991</v>
      </c>
      <c r="H13" s="183">
        <f t="shared" si="4"/>
        <v>1.64039040897439E-2</v>
      </c>
      <c r="J13" s="21"/>
    </row>
    <row r="14" spans="1:17" x14ac:dyDescent="0.2">
      <c r="A14" s="180">
        <f t="shared" si="1"/>
        <v>65497.581405939389</v>
      </c>
      <c r="B14" s="180">
        <v>74</v>
      </c>
      <c r="C14" s="180">
        <f t="shared" si="2"/>
        <v>4846821.0240395144</v>
      </c>
      <c r="D14" s="181">
        <f t="shared" si="0"/>
        <v>3.2173913043478261E-2</v>
      </c>
      <c r="E14" s="181">
        <f t="shared" si="0"/>
        <v>0.20484255370256363</v>
      </c>
      <c r="F14" s="181">
        <f t="shared" si="3"/>
        <v>0.97347826086956513</v>
      </c>
      <c r="G14" s="181">
        <f t="shared" si="3"/>
        <v>0.69753176652496351</v>
      </c>
      <c r="H14" s="183">
        <f>(G14+G7)*D14/2</f>
        <v>1.171909710870324E-2</v>
      </c>
      <c r="J14" s="21"/>
    </row>
    <row r="15" spans="1:17" x14ac:dyDescent="0.2">
      <c r="A15" s="180">
        <f t="shared" si="1"/>
        <v>117323.96631593884</v>
      </c>
      <c r="B15" s="180">
        <v>61</v>
      </c>
      <c r="C15" s="180">
        <f t="shared" si="2"/>
        <v>7156761.9452722697</v>
      </c>
      <c r="D15" s="181">
        <f t="shared" si="0"/>
        <v>2.6521739130434784E-2</v>
      </c>
      <c r="E15" s="181">
        <f t="shared" si="0"/>
        <v>0.30246823347503637</v>
      </c>
      <c r="F15" s="181">
        <f t="shared" si="3"/>
        <v>0.99999999999999989</v>
      </c>
      <c r="G15" s="181">
        <f t="shared" si="3"/>
        <v>0.99999999999999989</v>
      </c>
      <c r="H15" s="183">
        <f>(G15+G7)*D15/2</f>
        <v>1.3671328597557122E-2</v>
      </c>
      <c r="J15" s="21"/>
      <c r="Q15" s="184"/>
    </row>
    <row r="16" spans="1:17" x14ac:dyDescent="0.2">
      <c r="A16" s="185"/>
      <c r="B16" s="185">
        <f>SUM(B6:B15)</f>
        <v>2300</v>
      </c>
      <c r="C16" s="204">
        <f>SUM(C6:C15)</f>
        <v>23661201.915482935</v>
      </c>
      <c r="D16" s="48">
        <f>SUM(D6:D15)</f>
        <v>0.99999999999999989</v>
      </c>
      <c r="E16" s="48">
        <f>SUM(E6:E15)</f>
        <v>0.99999999999999989</v>
      </c>
      <c r="F16" s="48"/>
      <c r="G16" s="48"/>
      <c r="H16" s="187">
        <f>SUM(H6:H15)</f>
        <v>0.1116862966011796</v>
      </c>
      <c r="J16" s="188"/>
    </row>
    <row r="17" spans="1:13" ht="13.5" thickBot="1" x14ac:dyDescent="0.25">
      <c r="C17" s="189">
        <f>Efeitos!E5</f>
        <v>23661201.915482942</v>
      </c>
      <c r="I17" s="21"/>
      <c r="J17" s="21"/>
    </row>
    <row r="18" spans="1:13" ht="13.5" thickBot="1" x14ac:dyDescent="0.25">
      <c r="A18" s="190" t="s">
        <v>238</v>
      </c>
      <c r="B18" s="191"/>
      <c r="C18" s="192">
        <f>1-(2*H16)</f>
        <v>0.77662740679764086</v>
      </c>
      <c r="D18" s="263">
        <f>C16-C17</f>
        <v>0</v>
      </c>
      <c r="H18" s="21"/>
      <c r="I18" s="21"/>
      <c r="J18" s="21"/>
      <c r="K18" s="21"/>
      <c r="L18" s="21"/>
      <c r="M18" s="21"/>
    </row>
    <row r="19" spans="1:13" x14ac:dyDescent="0.2">
      <c r="H19" s="21"/>
      <c r="I19" s="194"/>
      <c r="J19" s="195"/>
      <c r="K19" s="195"/>
      <c r="L19" s="195"/>
      <c r="M19" s="21"/>
    </row>
    <row r="20" spans="1:13" x14ac:dyDescent="0.2">
      <c r="A20" s="29" t="s">
        <v>239</v>
      </c>
      <c r="B20" s="29">
        <f>C16/B16</f>
        <v>10287.479093688233</v>
      </c>
      <c r="C20" s="173"/>
      <c r="G20" s="173"/>
      <c r="H20" s="173"/>
      <c r="I20" s="195"/>
      <c r="J20" s="195"/>
      <c r="K20" s="195"/>
      <c r="L20" s="21"/>
      <c r="M20" s="21"/>
    </row>
    <row r="21" spans="1:13" x14ac:dyDescent="0.2">
      <c r="A21" s="15" t="s">
        <v>240</v>
      </c>
      <c r="B21" s="196">
        <f>(B22/B16)*((B6*A6^B23+B7*A7^B23+B8*A8^B23+B9*A9^B23+B10*A10^B23+B11*A11^B23+B12*A12^B23+B13*A13^B23+B14*A14^B23+B15*A15^B23)/B20^B23)</f>
        <v>4.2852270878775309</v>
      </c>
      <c r="C21" s="197"/>
      <c r="G21" s="21"/>
      <c r="H21" s="173"/>
      <c r="I21" s="195"/>
      <c r="J21" s="195"/>
      <c r="K21" s="195"/>
      <c r="L21" s="21"/>
      <c r="M21" s="21"/>
    </row>
    <row r="22" spans="1:13" x14ac:dyDescent="0.2">
      <c r="A22" s="15" t="s">
        <v>241</v>
      </c>
      <c r="B22" s="198">
        <v>5.5550795915922775</v>
      </c>
      <c r="C22" s="195"/>
      <c r="G22" s="21"/>
      <c r="H22" s="173"/>
      <c r="I22" s="195"/>
      <c r="J22" s="195"/>
      <c r="K22" s="195"/>
      <c r="L22" s="21"/>
      <c r="M22" s="21"/>
    </row>
    <row r="23" spans="1:13" x14ac:dyDescent="0.2">
      <c r="A23" s="15" t="s">
        <v>242</v>
      </c>
      <c r="B23" s="13">
        <v>0.7</v>
      </c>
      <c r="C23" s="195"/>
      <c r="G23" s="21"/>
      <c r="H23" s="21"/>
      <c r="J23" s="195"/>
      <c r="K23" s="195"/>
      <c r="L23" s="21"/>
      <c r="M23" s="21"/>
    </row>
    <row r="24" spans="1:13" x14ac:dyDescent="0.2">
      <c r="A24" s="29" t="s">
        <v>243</v>
      </c>
      <c r="B24" s="199">
        <f>B21/B22</f>
        <v>0.77140696496289751</v>
      </c>
      <c r="C24" s="200"/>
      <c r="G24" s="21"/>
      <c r="H24" s="178"/>
      <c r="I24" s="195"/>
      <c r="J24" s="195"/>
      <c r="K24" s="195"/>
      <c r="L24" s="21"/>
      <c r="M24" s="21"/>
    </row>
    <row r="25" spans="1:13" x14ac:dyDescent="0.2">
      <c r="A25" s="21"/>
      <c r="B25" s="21"/>
      <c r="C25" s="21"/>
      <c r="H25" s="21"/>
      <c r="I25" s="194"/>
    </row>
    <row r="26" spans="1:13" x14ac:dyDescent="0.2">
      <c r="A26" s="21"/>
      <c r="B26" s="21"/>
      <c r="C26" s="21"/>
      <c r="H26" s="178"/>
      <c r="I26" s="195"/>
    </row>
    <row r="27" spans="1:13" x14ac:dyDescent="0.2">
      <c r="A27" s="21"/>
      <c r="B27" s="21"/>
      <c r="C27" s="21"/>
      <c r="H27" s="178"/>
      <c r="I27" s="195"/>
    </row>
    <row r="28" spans="1:13" x14ac:dyDescent="0.2">
      <c r="A28" s="195"/>
      <c r="B28" s="195"/>
      <c r="C28" s="195"/>
      <c r="D28" s="195"/>
      <c r="E28" s="195"/>
      <c r="H28" s="178"/>
      <c r="I28" s="195"/>
    </row>
    <row r="29" spans="1:13" x14ac:dyDescent="0.2">
      <c r="A29" s="194"/>
      <c r="B29" s="194"/>
      <c r="C29" s="201"/>
      <c r="D29" s="201"/>
      <c r="E29" s="195"/>
      <c r="H29" s="178"/>
      <c r="I29" s="195"/>
    </row>
    <row r="30" spans="1:13" x14ac:dyDescent="0.2">
      <c r="A30" s="194"/>
      <c r="B30" s="194"/>
      <c r="C30" s="201"/>
      <c r="D30" s="201"/>
      <c r="E30" s="195"/>
      <c r="H30" s="178"/>
      <c r="I30" s="195"/>
    </row>
    <row r="31" spans="1:13" x14ac:dyDescent="0.2">
      <c r="A31" s="194"/>
      <c r="B31" s="194"/>
      <c r="C31" s="201"/>
      <c r="D31" s="201"/>
      <c r="E31" s="195"/>
      <c r="H31" s="178"/>
      <c r="I31" s="195"/>
    </row>
    <row r="32" spans="1:13" x14ac:dyDescent="0.2">
      <c r="A32" s="194"/>
      <c r="B32" s="194"/>
      <c r="C32" s="201"/>
      <c r="D32" s="201"/>
      <c r="E32" s="195"/>
      <c r="H32" s="178"/>
      <c r="I32" s="195"/>
    </row>
    <row r="33" spans="1:9" x14ac:dyDescent="0.2">
      <c r="A33" s="194"/>
      <c r="B33" s="194"/>
      <c r="C33" s="201"/>
      <c r="D33" s="201"/>
      <c r="E33" s="195"/>
      <c r="H33" s="178"/>
      <c r="I33" s="195"/>
    </row>
    <row r="34" spans="1:9" x14ac:dyDescent="0.2">
      <c r="A34" s="21"/>
      <c r="B34" s="21"/>
      <c r="C34" s="21"/>
      <c r="D34" s="21"/>
      <c r="E34" s="21"/>
      <c r="H34" s="178"/>
      <c r="I34" s="195"/>
    </row>
    <row r="35" spans="1:9" x14ac:dyDescent="0.2">
      <c r="A35" s="21"/>
      <c r="B35" s="21"/>
      <c r="C35" s="21"/>
      <c r="D35" s="21"/>
      <c r="E35" s="21"/>
      <c r="H35" s="178"/>
      <c r="I35" s="195"/>
    </row>
    <row r="36" spans="1:9" x14ac:dyDescent="0.2">
      <c r="A36" s="21"/>
      <c r="B36" s="21"/>
      <c r="C36" s="202"/>
      <c r="D36" s="21"/>
      <c r="E36" s="21"/>
      <c r="G36" s="21"/>
      <c r="H36" s="178"/>
      <c r="I36" s="178"/>
    </row>
    <row r="37" spans="1:9" x14ac:dyDescent="0.2">
      <c r="H37" s="21"/>
      <c r="I37" s="21"/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showGridLines="0" zoomScale="90" zoomScaleNormal="90" workbookViewId="0">
      <selection activeCell="E30" sqref="E30"/>
    </sheetView>
  </sheetViews>
  <sheetFormatPr defaultRowHeight="15" x14ac:dyDescent="0.2"/>
  <cols>
    <col min="1" max="1" width="9.140625" style="205"/>
    <col min="2" max="2" width="32.140625" style="205" customWidth="1"/>
    <col min="3" max="3" width="25.28515625" style="206" customWidth="1"/>
    <col min="4" max="4" width="19.42578125" style="205" customWidth="1"/>
    <col min="5" max="5" width="18.5703125" style="205" customWidth="1"/>
    <col min="6" max="6" width="19.5703125" style="205" customWidth="1"/>
    <col min="7" max="7" width="4.28515625" style="205" customWidth="1"/>
    <col min="8" max="8" width="33.140625" style="205" customWidth="1"/>
    <col min="9" max="9" width="14" style="205" customWidth="1"/>
    <col min="10" max="10" width="2.85546875" style="205" customWidth="1"/>
    <col min="11" max="11" width="13.5703125" style="205" bestFit="1" customWidth="1"/>
    <col min="12" max="12" width="12.85546875" style="205" bestFit="1" customWidth="1"/>
    <col min="13" max="16384" width="9.140625" style="205"/>
  </cols>
  <sheetData>
    <row r="1" spans="2:14" x14ac:dyDescent="0.2">
      <c r="B1" s="205" t="s">
        <v>247</v>
      </c>
    </row>
    <row r="2" spans="2:14" ht="7.5" customHeight="1" x14ac:dyDescent="0.2"/>
    <row r="3" spans="2:14" x14ac:dyDescent="0.2">
      <c r="D3" s="207" t="s">
        <v>248</v>
      </c>
      <c r="E3" s="207" t="s">
        <v>249</v>
      </c>
      <c r="F3" s="207" t="s">
        <v>250</v>
      </c>
      <c r="H3" s="208" t="s">
        <v>251</v>
      </c>
      <c r="I3" s="208"/>
      <c r="J3" s="208"/>
      <c r="K3" s="208"/>
      <c r="L3" s="208"/>
      <c r="M3" s="208"/>
      <c r="N3" s="208"/>
    </row>
    <row r="4" spans="2:14" x14ac:dyDescent="0.2">
      <c r="B4" s="209" t="s">
        <v>252</v>
      </c>
      <c r="C4" s="210" t="s">
        <v>253</v>
      </c>
      <c r="D4" s="211">
        <v>2000</v>
      </c>
      <c r="E4" s="211">
        <f>D4+'VA Direto'!G21</f>
        <v>2300</v>
      </c>
      <c r="F4" s="212">
        <f t="shared" ref="F4:F12" si="0">E4-D4</f>
        <v>300</v>
      </c>
      <c r="H4" s="213" t="s">
        <v>254</v>
      </c>
      <c r="I4" s="214">
        <f>F5-F9</f>
        <v>572935.59533940442</v>
      </c>
      <c r="J4" s="215"/>
      <c r="K4" s="216"/>
      <c r="L4" s="216"/>
      <c r="M4" s="208"/>
      <c r="N4" s="208"/>
    </row>
    <row r="5" spans="2:14" ht="15.75" x14ac:dyDescent="0.25">
      <c r="B5" s="217" t="s">
        <v>255</v>
      </c>
      <c r="C5" s="218" t="s">
        <v>256</v>
      </c>
      <c r="D5" s="219">
        <v>20000000</v>
      </c>
      <c r="E5" s="266">
        <v>23661201.915482942</v>
      </c>
      <c r="F5" s="220">
        <f t="shared" si="0"/>
        <v>3661201.915482942</v>
      </c>
      <c r="H5" s="213" t="s">
        <v>257</v>
      </c>
      <c r="I5" s="214">
        <f>F5</f>
        <v>3661201.915482942</v>
      </c>
      <c r="J5" s="208"/>
      <c r="K5" s="208"/>
      <c r="L5" s="208"/>
      <c r="M5" s="208"/>
      <c r="N5" s="208"/>
    </row>
    <row r="6" spans="2:14" x14ac:dyDescent="0.2">
      <c r="B6" s="221" t="s">
        <v>258</v>
      </c>
      <c r="C6" s="222" t="s">
        <v>259</v>
      </c>
      <c r="D6" s="223">
        <v>5000000</v>
      </c>
      <c r="E6" s="211">
        <f t="shared" ref="E6" si="1">D6</f>
        <v>5000000</v>
      </c>
      <c r="F6" s="224">
        <f t="shared" si="0"/>
        <v>0</v>
      </c>
      <c r="J6" s="208"/>
      <c r="K6" s="208"/>
      <c r="L6" s="208"/>
      <c r="M6" s="208"/>
      <c r="N6" s="208"/>
    </row>
    <row r="7" spans="2:14" x14ac:dyDescent="0.2">
      <c r="B7" s="225" t="s">
        <v>260</v>
      </c>
      <c r="C7" s="226" t="s">
        <v>261</v>
      </c>
      <c r="D7" s="227">
        <f>D5*D24</f>
        <v>2000000</v>
      </c>
      <c r="E7" s="227">
        <f>E5*E24</f>
        <v>2366120.1915482944</v>
      </c>
      <c r="F7" s="220">
        <f t="shared" si="0"/>
        <v>366120.19154829439</v>
      </c>
      <c r="H7" s="228"/>
      <c r="I7" s="228"/>
      <c r="J7" s="228"/>
      <c r="K7" s="228"/>
      <c r="L7" s="228"/>
      <c r="M7" s="208"/>
      <c r="N7" s="208"/>
    </row>
    <row r="8" spans="2:14" x14ac:dyDescent="0.2">
      <c r="B8" s="229" t="s">
        <v>262</v>
      </c>
      <c r="C8" s="230" t="s">
        <v>263</v>
      </c>
      <c r="D8" s="231">
        <f>D5*D23*(1-D24)</f>
        <v>12600000</v>
      </c>
      <c r="E8" s="232">
        <f>E5*E23*(1-E24)</f>
        <v>14906557.206754252</v>
      </c>
      <c r="F8" s="220">
        <f t="shared" si="0"/>
        <v>2306557.2067542523</v>
      </c>
      <c r="H8" s="233"/>
      <c r="I8" s="228"/>
      <c r="J8" s="228"/>
      <c r="K8" s="228"/>
      <c r="L8" s="228"/>
      <c r="M8" s="208"/>
      <c r="N8" s="208"/>
    </row>
    <row r="9" spans="2:14" x14ac:dyDescent="0.2">
      <c r="B9" s="234" t="s">
        <v>264</v>
      </c>
      <c r="C9" s="235" t="s">
        <v>265</v>
      </c>
      <c r="D9" s="236">
        <v>12000000</v>
      </c>
      <c r="E9" s="237">
        <f>D9+'VA Direto'!C14</f>
        <v>15088266.320143538</v>
      </c>
      <c r="F9" s="220">
        <f t="shared" si="0"/>
        <v>3088266.3201435376</v>
      </c>
      <c r="H9" s="233"/>
      <c r="I9" s="286"/>
      <c r="J9" s="228"/>
      <c r="K9" s="228"/>
      <c r="L9" s="228"/>
      <c r="M9" s="208"/>
      <c r="N9" s="208"/>
    </row>
    <row r="10" spans="2:14" x14ac:dyDescent="0.2">
      <c r="B10" s="229" t="s">
        <v>266</v>
      </c>
      <c r="C10" s="230" t="s">
        <v>267</v>
      </c>
      <c r="D10" s="231">
        <f>D8/D4</f>
        <v>6300</v>
      </c>
      <c r="E10" s="232">
        <f>E8/E4</f>
        <v>6481.1118290235881</v>
      </c>
      <c r="F10" s="220">
        <f t="shared" si="0"/>
        <v>181.11182902358814</v>
      </c>
      <c r="H10" s="208"/>
      <c r="I10" s="228"/>
      <c r="J10" s="228"/>
      <c r="K10" s="228"/>
      <c r="L10" s="228"/>
    </row>
    <row r="11" spans="2:14" ht="15.75" x14ac:dyDescent="0.25">
      <c r="B11" s="229" t="s">
        <v>240</v>
      </c>
      <c r="C11" s="230" t="s">
        <v>268</v>
      </c>
      <c r="D11" s="238">
        <f>'D.R. inicial'!B21</f>
        <v>4.2049694420866581</v>
      </c>
      <c r="E11" s="238">
        <f>'D.R. Final'!B21</f>
        <v>4.2852270878775309</v>
      </c>
      <c r="F11" s="239">
        <f t="shared" si="0"/>
        <v>8.02576457908728E-2</v>
      </c>
      <c r="H11" s="208"/>
      <c r="I11" s="215"/>
      <c r="J11" s="215"/>
      <c r="K11" s="215"/>
      <c r="L11" s="215"/>
    </row>
    <row r="12" spans="2:14" x14ac:dyDescent="0.2">
      <c r="B12" s="225" t="s">
        <v>242</v>
      </c>
      <c r="C12" s="226" t="s">
        <v>269</v>
      </c>
      <c r="D12" s="240">
        <v>0.7</v>
      </c>
      <c r="E12" s="241">
        <f>D12</f>
        <v>0.7</v>
      </c>
      <c r="F12" s="242">
        <f t="shared" si="0"/>
        <v>0</v>
      </c>
      <c r="H12" s="243"/>
      <c r="I12" s="244"/>
      <c r="J12" s="244"/>
      <c r="K12" s="244"/>
      <c r="L12" s="245"/>
    </row>
    <row r="13" spans="2:14" x14ac:dyDescent="0.2">
      <c r="B13" s="246" t="s">
        <v>270</v>
      </c>
      <c r="C13" s="247" t="s">
        <v>271</v>
      </c>
      <c r="D13" s="248">
        <f>(D11*D10^D12)*D4</f>
        <v>3840000.0000000116</v>
      </c>
      <c r="E13" s="248">
        <f>(E11*E10^E12)*E4</f>
        <v>4590461.3813323183</v>
      </c>
      <c r="F13" s="249">
        <f>E13-D13</f>
        <v>750461.38133230666</v>
      </c>
      <c r="H13" s="208"/>
      <c r="I13" s="215"/>
      <c r="J13" s="215"/>
      <c r="K13" s="215"/>
      <c r="L13" s="215"/>
    </row>
    <row r="14" spans="2:14" x14ac:dyDescent="0.2">
      <c r="B14" s="234" t="s">
        <v>272</v>
      </c>
      <c r="C14" s="235" t="s">
        <v>273</v>
      </c>
      <c r="D14" s="250">
        <f>D5*D22</f>
        <v>5400000</v>
      </c>
      <c r="E14" s="251">
        <f>E5*E22</f>
        <v>6388524.5171803944</v>
      </c>
      <c r="F14" s="224">
        <f t="shared" ref="F14:F30" si="2">E14-D14</f>
        <v>988524.51718039438</v>
      </c>
      <c r="H14" s="208"/>
      <c r="I14" s="228"/>
      <c r="J14" s="228"/>
      <c r="K14" s="228"/>
      <c r="L14" s="228"/>
    </row>
    <row r="15" spans="2:14" x14ac:dyDescent="0.2">
      <c r="B15" s="229" t="s">
        <v>274</v>
      </c>
      <c r="C15" s="230" t="s">
        <v>275</v>
      </c>
      <c r="D15" s="231">
        <f>D25*D13</f>
        <v>1920000.0000000058</v>
      </c>
      <c r="E15" s="231">
        <f>E25*E13</f>
        <v>2295230.6906661591</v>
      </c>
      <c r="F15" s="220">
        <f t="shared" si="2"/>
        <v>375230.69066615333</v>
      </c>
    </row>
    <row r="16" spans="2:14" x14ac:dyDescent="0.2">
      <c r="B16" s="229" t="s">
        <v>276</v>
      </c>
      <c r="C16" s="226" t="s">
        <v>277</v>
      </c>
      <c r="D16" s="252">
        <f>D8-D13</f>
        <v>8759999.9999999888</v>
      </c>
      <c r="E16" s="232">
        <f>E8-E13</f>
        <v>10316095.825421933</v>
      </c>
      <c r="F16" s="220">
        <f t="shared" si="2"/>
        <v>1556095.8254219443</v>
      </c>
    </row>
    <row r="17" spans="2:9" x14ac:dyDescent="0.2">
      <c r="B17" s="229" t="s">
        <v>278</v>
      </c>
      <c r="C17" s="218" t="s">
        <v>279</v>
      </c>
      <c r="D17" s="252">
        <f>D15+D16</f>
        <v>10679999.999999994</v>
      </c>
      <c r="E17" s="232">
        <f>E15+E16</f>
        <v>12611326.516088093</v>
      </c>
      <c r="F17" s="220">
        <f t="shared" si="2"/>
        <v>1931326.5160880983</v>
      </c>
    </row>
    <row r="18" spans="2:9" x14ac:dyDescent="0.2">
      <c r="B18" s="221" t="s">
        <v>280</v>
      </c>
      <c r="C18" s="218" t="s">
        <v>281</v>
      </c>
      <c r="D18" s="252">
        <f>D9-D17</f>
        <v>1320000.0000000056</v>
      </c>
      <c r="E18" s="232">
        <f>E9-E17</f>
        <v>2476939.8040554449</v>
      </c>
      <c r="F18" s="220">
        <f t="shared" si="2"/>
        <v>1156939.8040554393</v>
      </c>
      <c r="I18" s="253"/>
    </row>
    <row r="19" spans="2:9" x14ac:dyDescent="0.2">
      <c r="B19" s="229" t="s">
        <v>282</v>
      </c>
      <c r="C19" s="226" t="s">
        <v>283</v>
      </c>
      <c r="D19" s="252">
        <f>D6-D7</f>
        <v>3000000</v>
      </c>
      <c r="E19" s="232">
        <f>E6-E7</f>
        <v>2633879.8084517056</v>
      </c>
      <c r="F19" s="220">
        <f t="shared" si="2"/>
        <v>-366120.19154829439</v>
      </c>
    </row>
    <row r="20" spans="2:9" x14ac:dyDescent="0.2">
      <c r="B20" s="229" t="s">
        <v>284</v>
      </c>
      <c r="C20" s="230" t="s">
        <v>285</v>
      </c>
      <c r="D20" s="231">
        <f>D29-D14</f>
        <v>-4320000</v>
      </c>
      <c r="E20" s="231">
        <f>E29-E14</f>
        <v>-5110819.6137443157</v>
      </c>
      <c r="F20" s="220">
        <f t="shared" si="2"/>
        <v>-790819.61374431569</v>
      </c>
    </row>
    <row r="21" spans="2:9" x14ac:dyDescent="0.2">
      <c r="B21" s="229" t="s">
        <v>286</v>
      </c>
      <c r="C21" s="230" t="s">
        <v>256</v>
      </c>
      <c r="D21" s="231">
        <f>(D6+D9+D29)/(D26+D24+D22)</f>
        <v>20000000.000000007</v>
      </c>
      <c r="E21" s="232">
        <f>(E6+E9+E29)/(E26+E24+E22)</f>
        <v>23661201.914112877</v>
      </c>
      <c r="F21" s="220">
        <f t="shared" si="2"/>
        <v>3661201.9141128697</v>
      </c>
    </row>
    <row r="22" spans="2:9" x14ac:dyDescent="0.2">
      <c r="B22" s="221" t="s">
        <v>287</v>
      </c>
      <c r="C22" s="222" t="s">
        <v>288</v>
      </c>
      <c r="D22" s="254">
        <f>1-(D23*(1-D24)+D24)</f>
        <v>0.27</v>
      </c>
      <c r="E22" s="255">
        <f>1-(E23*(1-E24)+E24)</f>
        <v>0.27</v>
      </c>
      <c r="F22" s="220">
        <f t="shared" si="2"/>
        <v>0</v>
      </c>
    </row>
    <row r="23" spans="2:9" x14ac:dyDescent="0.2">
      <c r="B23" s="229" t="s">
        <v>289</v>
      </c>
      <c r="C23" s="230" t="s">
        <v>290</v>
      </c>
      <c r="D23" s="256">
        <v>0.7</v>
      </c>
      <c r="E23" s="256">
        <f>D23</f>
        <v>0.7</v>
      </c>
      <c r="F23" s="220">
        <f t="shared" si="2"/>
        <v>0</v>
      </c>
    </row>
    <row r="24" spans="2:9" x14ac:dyDescent="0.2">
      <c r="B24" s="229" t="s">
        <v>291</v>
      </c>
      <c r="C24" s="230" t="s">
        <v>292</v>
      </c>
      <c r="D24" s="241">
        <v>0.1</v>
      </c>
      <c r="E24" s="256">
        <f t="shared" ref="E24:E25" si="3">D24</f>
        <v>0.1</v>
      </c>
      <c r="F24" s="220">
        <f t="shared" si="2"/>
        <v>0</v>
      </c>
    </row>
    <row r="25" spans="2:9" x14ac:dyDescent="0.2">
      <c r="B25" s="221" t="s">
        <v>293</v>
      </c>
      <c r="C25" s="222" t="s">
        <v>294</v>
      </c>
      <c r="D25" s="241">
        <v>0.5</v>
      </c>
      <c r="E25" s="256">
        <f t="shared" si="3"/>
        <v>0.5</v>
      </c>
      <c r="F25" s="220">
        <f t="shared" si="2"/>
        <v>0</v>
      </c>
    </row>
    <row r="26" spans="2:9" x14ac:dyDescent="0.2">
      <c r="B26" s="229" t="s">
        <v>295</v>
      </c>
      <c r="C26" s="230" t="s">
        <v>296</v>
      </c>
      <c r="D26" s="254">
        <f>D17/D5</f>
        <v>0.5339999999999997</v>
      </c>
      <c r="E26" s="255">
        <f>E17/E5</f>
        <v>0.53299602281977676</v>
      </c>
      <c r="F26" s="260">
        <f t="shared" si="2"/>
        <v>-1.0039771802229369E-3</v>
      </c>
    </row>
    <row r="27" spans="2:9" x14ac:dyDescent="0.2">
      <c r="B27" s="229" t="s">
        <v>297</v>
      </c>
      <c r="C27" s="230" t="s">
        <v>298</v>
      </c>
      <c r="D27" s="254">
        <f>1/(D26+D24+D22)</f>
        <v>1.1061946902654871</v>
      </c>
      <c r="E27" s="255">
        <f>1/(E26+E24+E22)</f>
        <v>1.1074245896203505</v>
      </c>
      <c r="F27" s="260">
        <f t="shared" si="2"/>
        <v>1.2298993548633952E-3</v>
      </c>
    </row>
    <row r="28" spans="2:9" x14ac:dyDescent="0.2">
      <c r="B28" s="229" t="s">
        <v>299</v>
      </c>
      <c r="C28" s="230" t="s">
        <v>300</v>
      </c>
      <c r="D28" s="256">
        <v>0.8</v>
      </c>
      <c r="E28" s="256">
        <f>D28</f>
        <v>0.8</v>
      </c>
      <c r="F28" s="220">
        <f t="shared" si="2"/>
        <v>0</v>
      </c>
    </row>
    <row r="29" spans="2:9" x14ac:dyDescent="0.2">
      <c r="B29" s="229" t="s">
        <v>301</v>
      </c>
      <c r="C29" s="230" t="s">
        <v>302</v>
      </c>
      <c r="D29" s="231">
        <f>D5*D22*(1-D28)</f>
        <v>1079999.9999999998</v>
      </c>
      <c r="E29" s="232">
        <f>E5*E22*(1-E28)</f>
        <v>1277704.9034360787</v>
      </c>
      <c r="F29" s="220">
        <f t="shared" si="2"/>
        <v>197704.90343607892</v>
      </c>
    </row>
    <row r="30" spans="2:9" ht="15.75" x14ac:dyDescent="0.25">
      <c r="B30" s="246" t="s">
        <v>303</v>
      </c>
      <c r="C30" s="247" t="s">
        <v>304</v>
      </c>
      <c r="D30" s="257">
        <f>D18+D19+D20</f>
        <v>0</v>
      </c>
      <c r="E30" s="264">
        <f>E18+E19+E20</f>
        <v>-1.2371651828289032E-3</v>
      </c>
      <c r="F30" s="258">
        <f t="shared" si="2"/>
        <v>-1.2371651828289032E-3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B3" sqref="B3"/>
    </sheetView>
  </sheetViews>
  <sheetFormatPr defaultRowHeight="15" x14ac:dyDescent="0.25"/>
  <cols>
    <col min="1" max="1" width="28.140625" style="1" customWidth="1"/>
    <col min="2" max="3" width="9.140625" style="1"/>
    <col min="4" max="4" width="17.7109375" style="1" customWidth="1"/>
    <col min="5" max="5" width="7.7109375" style="1" customWidth="1"/>
    <col min="6" max="11" width="8" style="1" customWidth="1"/>
    <col min="12" max="12" width="9.5703125" style="1" customWidth="1"/>
    <col min="13" max="13" width="9.140625" style="1"/>
    <col min="14" max="14" width="21" style="1" customWidth="1"/>
    <col min="15" max="16384" width="9.140625" style="1"/>
  </cols>
  <sheetData>
    <row r="1" spans="1:15" x14ac:dyDescent="0.25">
      <c r="A1" s="1" t="s">
        <v>315</v>
      </c>
      <c r="B1" s="99"/>
    </row>
    <row r="2" spans="1:15" x14ac:dyDescent="0.25">
      <c r="B2" s="99"/>
    </row>
    <row r="3" spans="1:15" x14ac:dyDescent="0.25">
      <c r="A3" s="2" t="s">
        <v>305</v>
      </c>
      <c r="B3" s="43">
        <v>3</v>
      </c>
      <c r="C3" s="56"/>
      <c r="D3" s="100" t="s">
        <v>132</v>
      </c>
      <c r="E3" s="4"/>
      <c r="I3" s="101"/>
    </row>
    <row r="4" spans="1:15" x14ac:dyDescent="0.25">
      <c r="A4" s="5" t="s">
        <v>149</v>
      </c>
      <c r="B4" s="43">
        <v>13</v>
      </c>
      <c r="C4" s="56"/>
      <c r="D4" s="102" t="s">
        <v>133</v>
      </c>
      <c r="E4" s="79">
        <v>0.8</v>
      </c>
    </row>
    <row r="5" spans="1:15" x14ac:dyDescent="0.25">
      <c r="A5" s="3"/>
      <c r="B5" s="103"/>
      <c r="C5" s="56"/>
      <c r="D5" s="102" t="s">
        <v>61</v>
      </c>
      <c r="E5" s="79">
        <v>0.05</v>
      </c>
      <c r="I5" s="4"/>
    </row>
    <row r="6" spans="1:15" x14ac:dyDescent="0.25">
      <c r="B6" s="56"/>
      <c r="C6" s="56"/>
      <c r="D6" s="102" t="s">
        <v>134</v>
      </c>
      <c r="E6" s="82">
        <v>2</v>
      </c>
    </row>
    <row r="7" spans="1:15" x14ac:dyDescent="0.25">
      <c r="B7" s="56"/>
      <c r="C7" s="56"/>
      <c r="D7" s="100"/>
      <c r="E7" s="104"/>
    </row>
    <row r="8" spans="1:15" x14ac:dyDescent="0.25">
      <c r="A8" s="105" t="s">
        <v>135</v>
      </c>
      <c r="B8" s="106"/>
      <c r="C8" s="107"/>
      <c r="F8" s="108"/>
      <c r="G8" s="108"/>
      <c r="H8" s="108"/>
      <c r="I8" s="108"/>
      <c r="J8" s="108"/>
      <c r="K8" s="108"/>
      <c r="L8" s="108"/>
      <c r="N8" s="109"/>
    </row>
    <row r="9" spans="1:15" x14ac:dyDescent="0.25">
      <c r="A9" s="2" t="s">
        <v>136</v>
      </c>
      <c r="B9" s="49">
        <v>1</v>
      </c>
      <c r="C9" s="49">
        <f>B9+1</f>
        <v>2</v>
      </c>
      <c r="D9" s="49">
        <f t="shared" ref="D9:K9" si="0">C9+1</f>
        <v>3</v>
      </c>
      <c r="E9" s="49">
        <f t="shared" si="0"/>
        <v>4</v>
      </c>
      <c r="F9" s="49">
        <f t="shared" si="0"/>
        <v>5</v>
      </c>
      <c r="G9" s="49">
        <f t="shared" si="0"/>
        <v>6</v>
      </c>
      <c r="H9" s="49">
        <f t="shared" si="0"/>
        <v>7</v>
      </c>
      <c r="I9" s="49">
        <f t="shared" si="0"/>
        <v>8</v>
      </c>
      <c r="J9" s="49">
        <f t="shared" si="0"/>
        <v>9</v>
      </c>
      <c r="K9" s="49">
        <f t="shared" si="0"/>
        <v>10</v>
      </c>
      <c r="L9" s="2" t="s">
        <v>137</v>
      </c>
    </row>
    <row r="10" spans="1:15" x14ac:dyDescent="0.25">
      <c r="A10" s="110" t="s">
        <v>138</v>
      </c>
      <c r="B10" s="111">
        <f>B3</f>
        <v>3</v>
      </c>
      <c r="C10" s="112">
        <f>B10</f>
        <v>3</v>
      </c>
      <c r="D10" s="112">
        <f>IF((C10+C14)*(1-$E$5)&gt;=$B$4,$B$4,(C10+C14)*(1-$E$5))</f>
        <v>3.9330000000000003</v>
      </c>
      <c r="E10" s="112">
        <f t="shared" ref="E10:K10" si="1">IF((D10+D14)*(1-$E$5)&gt;=$B$4,$B$4,(D10+D14)*(1-$E$5))</f>
        <v>4.81935</v>
      </c>
      <c r="F10" s="112">
        <f t="shared" si="1"/>
        <v>5.9981954999999996</v>
      </c>
      <c r="G10" s="112">
        <f t="shared" si="1"/>
        <v>7.438071074999999</v>
      </c>
      <c r="H10" s="112">
        <f t="shared" si="1"/>
        <v>9.2315160967499974</v>
      </c>
      <c r="I10" s="112">
        <f t="shared" si="1"/>
        <v>11.455083949987497</v>
      </c>
      <c r="J10" s="116">
        <f t="shared" si="1"/>
        <v>13</v>
      </c>
      <c r="K10" s="116">
        <f t="shared" si="1"/>
        <v>13</v>
      </c>
      <c r="L10" s="117">
        <f>B34</f>
        <v>13</v>
      </c>
      <c r="M10" s="114">
        <f>K10-L10</f>
        <v>0</v>
      </c>
    </row>
    <row r="11" spans="1:15" x14ac:dyDescent="0.25">
      <c r="A11" s="2" t="s">
        <v>139</v>
      </c>
      <c r="B11" s="49">
        <f>B10*E4</f>
        <v>2.4000000000000004</v>
      </c>
      <c r="C11" s="49">
        <f>C10*E4</f>
        <v>2.4000000000000004</v>
      </c>
      <c r="D11" s="49">
        <f>D10*$E$4</f>
        <v>3.1464000000000003</v>
      </c>
      <c r="E11" s="49">
        <f t="shared" ref="E11:K11" si="2">E10*$E$4</f>
        <v>3.85548</v>
      </c>
      <c r="F11" s="49">
        <f t="shared" si="2"/>
        <v>4.7985563999999998</v>
      </c>
      <c r="G11" s="49">
        <f t="shared" si="2"/>
        <v>5.9504568599999992</v>
      </c>
      <c r="H11" s="49">
        <f t="shared" si="2"/>
        <v>7.3852128773999981</v>
      </c>
      <c r="I11" s="49">
        <f t="shared" si="2"/>
        <v>9.1640671599899974</v>
      </c>
      <c r="J11" s="93">
        <f t="shared" si="2"/>
        <v>10.4</v>
      </c>
      <c r="K11" s="93">
        <f t="shared" si="2"/>
        <v>10.4</v>
      </c>
      <c r="L11" s="115">
        <f>B35</f>
        <v>10.4</v>
      </c>
      <c r="M11" s="114">
        <f t="shared" ref="M11:M15" si="3">K11-L11</f>
        <v>0</v>
      </c>
    </row>
    <row r="12" spans="1:15" x14ac:dyDescent="0.25">
      <c r="A12" s="2" t="s">
        <v>140</v>
      </c>
      <c r="B12" s="49">
        <f>B10-B11</f>
        <v>0.59999999999999964</v>
      </c>
      <c r="C12" s="49">
        <f>C10-C11</f>
        <v>0.59999999999999964</v>
      </c>
      <c r="D12" s="49">
        <f>D10-D11</f>
        <v>0.78659999999999997</v>
      </c>
      <c r="E12" s="49">
        <f t="shared" ref="E12:K12" si="4">E10-E11</f>
        <v>0.96387</v>
      </c>
      <c r="F12" s="49">
        <f t="shared" si="4"/>
        <v>1.1996390999999997</v>
      </c>
      <c r="G12" s="49">
        <f t="shared" si="4"/>
        <v>1.4876142149999998</v>
      </c>
      <c r="H12" s="49">
        <f t="shared" si="4"/>
        <v>1.8463032193499993</v>
      </c>
      <c r="I12" s="49">
        <f t="shared" si="4"/>
        <v>2.2910167899974994</v>
      </c>
      <c r="J12" s="93">
        <f t="shared" si="4"/>
        <v>2.5999999999999996</v>
      </c>
      <c r="K12" s="93">
        <f t="shared" si="4"/>
        <v>2.5999999999999996</v>
      </c>
      <c r="L12" s="115">
        <f>B36</f>
        <v>2.5999999999999996</v>
      </c>
      <c r="M12" s="114">
        <f t="shared" si="3"/>
        <v>0</v>
      </c>
    </row>
    <row r="13" spans="1:15" x14ac:dyDescent="0.25">
      <c r="A13" s="2" t="s">
        <v>141</v>
      </c>
      <c r="B13" s="49">
        <f>B11/2</f>
        <v>1.2000000000000002</v>
      </c>
      <c r="C13" s="82">
        <f>B13</f>
        <v>1.2000000000000002</v>
      </c>
      <c r="D13" s="82">
        <f>D11/2</f>
        <v>1.5732000000000002</v>
      </c>
      <c r="E13" s="82">
        <f t="shared" ref="E13:K13" si="5">E11/2</f>
        <v>1.92774</v>
      </c>
      <c r="F13" s="82">
        <f t="shared" si="5"/>
        <v>2.3992781999999999</v>
      </c>
      <c r="G13" s="82">
        <f t="shared" si="5"/>
        <v>2.9752284299999996</v>
      </c>
      <c r="H13" s="82">
        <f t="shared" si="5"/>
        <v>3.692606438699999</v>
      </c>
      <c r="I13" s="82">
        <f t="shared" si="5"/>
        <v>4.5820335799949987</v>
      </c>
      <c r="J13" s="81">
        <f t="shared" si="5"/>
        <v>5.2</v>
      </c>
      <c r="K13" s="81">
        <f t="shared" si="5"/>
        <v>5.2</v>
      </c>
      <c r="L13" s="115">
        <f>B38</f>
        <v>5.2</v>
      </c>
      <c r="M13" s="114">
        <f t="shared" si="3"/>
        <v>0</v>
      </c>
      <c r="N13" s="100"/>
      <c r="O13" s="113"/>
    </row>
    <row r="14" spans="1:15" x14ac:dyDescent="0.25">
      <c r="A14" s="2" t="s">
        <v>142</v>
      </c>
      <c r="B14" s="49"/>
      <c r="C14" s="49">
        <f>B13*(1-$E$5)</f>
        <v>1.1400000000000001</v>
      </c>
      <c r="D14" s="49">
        <f t="shared" ref="D14:K14" si="6">C13*(1-$E$5)</f>
        <v>1.1400000000000001</v>
      </c>
      <c r="E14" s="49">
        <f t="shared" si="6"/>
        <v>1.49454</v>
      </c>
      <c r="F14" s="49">
        <f t="shared" si="6"/>
        <v>1.831353</v>
      </c>
      <c r="G14" s="49">
        <f t="shared" si="6"/>
        <v>2.2793142899999999</v>
      </c>
      <c r="H14" s="49">
        <f t="shared" si="6"/>
        <v>2.8264670084999994</v>
      </c>
      <c r="I14" s="49">
        <f t="shared" si="6"/>
        <v>3.5079761167649988</v>
      </c>
      <c r="J14" s="93">
        <f t="shared" si="6"/>
        <v>4.352931900995249</v>
      </c>
      <c r="K14" s="93">
        <f t="shared" si="6"/>
        <v>4.9399999999999995</v>
      </c>
      <c r="L14" s="115">
        <f t="shared" ref="L14:L15" si="7">B39</f>
        <v>4.9399999999999995</v>
      </c>
      <c r="M14" s="114">
        <f t="shared" si="3"/>
        <v>0</v>
      </c>
      <c r="N14" s="106"/>
      <c r="O14" s="106"/>
    </row>
    <row r="15" spans="1:15" x14ac:dyDescent="0.25">
      <c r="A15" s="2" t="s">
        <v>79</v>
      </c>
      <c r="B15" s="49">
        <v>0</v>
      </c>
      <c r="C15" s="82">
        <f>IF((C14+C10)*(1-$E$5)&lt;=$B$4,0,(C14+C10)*(1-$E$5)-$B$4)</f>
        <v>0</v>
      </c>
      <c r="D15" s="82">
        <f t="shared" ref="D15:K15" si="8">IF((D14+D10)*(1-$E$5)&lt;=$B$4,0,(D14+D10)*(1-$E$5)-$B$4)</f>
        <v>0</v>
      </c>
      <c r="E15" s="82">
        <f t="shared" si="8"/>
        <v>0</v>
      </c>
      <c r="F15" s="82">
        <f t="shared" si="8"/>
        <v>0</v>
      </c>
      <c r="G15" s="82">
        <f t="shared" si="8"/>
        <v>0</v>
      </c>
      <c r="H15" s="82">
        <f t="shared" si="8"/>
        <v>0</v>
      </c>
      <c r="I15" s="82">
        <f t="shared" si="8"/>
        <v>1.21490706341487</v>
      </c>
      <c r="J15" s="81">
        <f t="shared" si="8"/>
        <v>3.4852853059454851</v>
      </c>
      <c r="K15" s="81">
        <f t="shared" si="8"/>
        <v>4.0429999999999957</v>
      </c>
      <c r="L15" s="115">
        <f t="shared" si="7"/>
        <v>4.0429999999999993</v>
      </c>
      <c r="M15" s="114">
        <f t="shared" si="3"/>
        <v>0</v>
      </c>
      <c r="N15" s="4"/>
      <c r="O15" s="3"/>
    </row>
    <row r="16" spans="1:15" x14ac:dyDescent="0.25">
      <c r="A16" s="5" t="s">
        <v>158</v>
      </c>
      <c r="B16" s="49">
        <f>B10+B13+B14</f>
        <v>4.2</v>
      </c>
      <c r="C16" s="49">
        <f t="shared" ref="C16:L16" si="9">C10+C13+C14</f>
        <v>5.34</v>
      </c>
      <c r="D16" s="49">
        <f t="shared" si="9"/>
        <v>6.6462000000000003</v>
      </c>
      <c r="E16" s="49">
        <f t="shared" si="9"/>
        <v>8.2416300000000007</v>
      </c>
      <c r="F16" s="49">
        <f t="shared" si="9"/>
        <v>10.228826699999999</v>
      </c>
      <c r="G16" s="49">
        <f t="shared" si="9"/>
        <v>12.692613794999998</v>
      </c>
      <c r="H16" s="49">
        <f t="shared" si="9"/>
        <v>15.750589543949996</v>
      </c>
      <c r="I16" s="49">
        <f t="shared" si="9"/>
        <v>19.545093646747496</v>
      </c>
      <c r="J16" s="93">
        <f t="shared" si="9"/>
        <v>22.552931900995247</v>
      </c>
      <c r="K16" s="93">
        <f t="shared" si="9"/>
        <v>23.14</v>
      </c>
      <c r="L16" s="93">
        <f t="shared" si="9"/>
        <v>23.14</v>
      </c>
    </row>
    <row r="18" spans="1:4" x14ac:dyDescent="0.25">
      <c r="A18" s="2" t="s">
        <v>143</v>
      </c>
      <c r="B18" s="2">
        <v>300</v>
      </c>
      <c r="C18" s="1" t="s">
        <v>144</v>
      </c>
    </row>
    <row r="20" spans="1:4" x14ac:dyDescent="0.25">
      <c r="A20" s="1" t="s">
        <v>145</v>
      </c>
    </row>
    <row r="21" spans="1:4" x14ac:dyDescent="0.25">
      <c r="A21" s="42" t="s">
        <v>133</v>
      </c>
      <c r="B21" s="42" t="s">
        <v>146</v>
      </c>
      <c r="C21" s="42" t="s">
        <v>147</v>
      </c>
      <c r="D21" s="42" t="s">
        <v>148</v>
      </c>
    </row>
    <row r="22" spans="1:4" x14ac:dyDescent="0.25">
      <c r="A22" s="94">
        <f>E4</f>
        <v>0.8</v>
      </c>
      <c r="B22" s="42">
        <f>B18</f>
        <v>300</v>
      </c>
      <c r="C22" s="49">
        <f>365/A22-300</f>
        <v>156.25</v>
      </c>
      <c r="D22" s="49">
        <f>B22+C22</f>
        <v>456.25</v>
      </c>
    </row>
    <row r="25" spans="1:4" x14ac:dyDescent="0.25">
      <c r="A25" s="47" t="s">
        <v>306</v>
      </c>
      <c r="B25" s="56"/>
    </row>
    <row r="26" spans="1:4" x14ac:dyDescent="0.25">
      <c r="B26" s="56"/>
    </row>
    <row r="27" spans="1:4" x14ac:dyDescent="0.25">
      <c r="A27" s="47" t="s">
        <v>59</v>
      </c>
      <c r="B27" s="56"/>
    </row>
    <row r="28" spans="1:4" x14ac:dyDescent="0.25">
      <c r="B28" s="56"/>
    </row>
    <row r="29" spans="1:4" x14ac:dyDescent="0.25">
      <c r="A29" s="15" t="s">
        <v>60</v>
      </c>
      <c r="B29" s="79">
        <f>E4</f>
        <v>0.8</v>
      </c>
    </row>
    <row r="30" spans="1:4" x14ac:dyDescent="0.25">
      <c r="A30" s="15" t="s">
        <v>61</v>
      </c>
      <c r="B30" s="79">
        <f>E5</f>
        <v>0.05</v>
      </c>
    </row>
    <row r="31" spans="1:4" x14ac:dyDescent="0.25">
      <c r="A31" s="15" t="s">
        <v>62</v>
      </c>
      <c r="B31" s="82">
        <f>E6</f>
        <v>2</v>
      </c>
    </row>
    <row r="32" spans="1:4" x14ac:dyDescent="0.25">
      <c r="B32" s="56"/>
    </row>
    <row r="33" spans="1:3" x14ac:dyDescent="0.25">
      <c r="A33" s="15" t="s">
        <v>63</v>
      </c>
      <c r="B33" s="80" t="s">
        <v>3</v>
      </c>
      <c r="C33" s="48" t="s">
        <v>64</v>
      </c>
    </row>
    <row r="34" spans="1:3" x14ac:dyDescent="0.25">
      <c r="A34" s="15" t="s">
        <v>65</v>
      </c>
      <c r="B34" s="81">
        <v>13</v>
      </c>
      <c r="C34" s="49">
        <f>C35+C36</f>
        <v>12.74</v>
      </c>
    </row>
    <row r="35" spans="1:3" x14ac:dyDescent="0.25">
      <c r="A35" s="15" t="s">
        <v>95</v>
      </c>
      <c r="B35" s="81">
        <f>B34*B29</f>
        <v>10.4</v>
      </c>
      <c r="C35" s="49">
        <f>B35*1</f>
        <v>10.4</v>
      </c>
    </row>
    <row r="36" spans="1:3" x14ac:dyDescent="0.25">
      <c r="A36" s="15" t="s">
        <v>66</v>
      </c>
      <c r="B36" s="81">
        <f>B34-B35</f>
        <v>2.5999999999999996</v>
      </c>
      <c r="C36" s="49">
        <f>B36*0.9</f>
        <v>2.34</v>
      </c>
    </row>
    <row r="37" spans="1:3" x14ac:dyDescent="0.25">
      <c r="A37" s="15" t="s">
        <v>67</v>
      </c>
      <c r="B37" s="81">
        <f>B34*B29</f>
        <v>10.4</v>
      </c>
      <c r="C37" s="49">
        <f>B37*0.4</f>
        <v>4.16</v>
      </c>
    </row>
    <row r="38" spans="1:3" x14ac:dyDescent="0.25">
      <c r="A38" s="15" t="s">
        <v>68</v>
      </c>
      <c r="B38" s="81">
        <f>B37/2</f>
        <v>5.2</v>
      </c>
      <c r="C38" s="49">
        <f>B38*0.4</f>
        <v>2.08</v>
      </c>
    </row>
    <row r="39" spans="1:3" x14ac:dyDescent="0.25">
      <c r="A39" s="15" t="s">
        <v>69</v>
      </c>
      <c r="B39" s="81">
        <f>B38*(1-B30)</f>
        <v>4.9399999999999995</v>
      </c>
      <c r="C39" s="49">
        <f>B39*0.8</f>
        <v>3.952</v>
      </c>
    </row>
    <row r="40" spans="1:3" x14ac:dyDescent="0.25">
      <c r="A40" s="15" t="s">
        <v>70</v>
      </c>
      <c r="B40" s="81">
        <f>B39*(1-B30)-B34*B30</f>
        <v>4.0429999999999993</v>
      </c>
      <c r="C40" s="49"/>
    </row>
    <row r="41" spans="1:3" x14ac:dyDescent="0.25">
      <c r="B41" s="83"/>
    </row>
    <row r="42" spans="1:3" x14ac:dyDescent="0.25">
      <c r="A42" s="15" t="s">
        <v>71</v>
      </c>
      <c r="B42" s="81">
        <f>B34+B38+B39</f>
        <v>23.14</v>
      </c>
      <c r="C42" s="49">
        <f>C34+C38+C39</f>
        <v>18.771999999999998</v>
      </c>
    </row>
    <row r="43" spans="1:3" x14ac:dyDescent="0.25">
      <c r="B43" s="83"/>
    </row>
    <row r="44" spans="1:3" x14ac:dyDescent="0.25">
      <c r="A44" s="15" t="s">
        <v>72</v>
      </c>
      <c r="B44" s="81">
        <f>B42/'Sit chegada'!C5</f>
        <v>2.3140000000000001</v>
      </c>
      <c r="C44" s="50">
        <f>C42/12</f>
        <v>1.5643333333333331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showGridLines="0" zoomScaleNormal="100" workbookViewId="0">
      <selection activeCell="C19" sqref="C19"/>
    </sheetView>
  </sheetViews>
  <sheetFormatPr defaultRowHeight="15" x14ac:dyDescent="0.25"/>
  <cols>
    <col min="1" max="1" width="5.42578125" style="1" customWidth="1"/>
    <col min="2" max="2" width="21.85546875" customWidth="1"/>
    <col min="3" max="3" width="16.85546875" customWidth="1"/>
    <col min="4" max="4" width="19.5703125" customWidth="1"/>
    <col min="5" max="5" width="16.28515625" customWidth="1"/>
    <col min="6" max="6" width="14.140625" style="56" customWidth="1"/>
    <col min="7" max="7" width="13.28515625" customWidth="1"/>
    <col min="8" max="8" width="21.5703125" customWidth="1"/>
    <col min="9" max="9" width="11.28515625" customWidth="1"/>
    <col min="10" max="10" width="13.42578125" customWidth="1"/>
  </cols>
  <sheetData>
    <row r="1" spans="2:11" s="1" customFormat="1" x14ac:dyDescent="0.25">
      <c r="F1" s="56"/>
    </row>
    <row r="2" spans="2:11" s="1" customFormat="1" ht="21" x14ac:dyDescent="0.35">
      <c r="B2" s="75" t="s">
        <v>93</v>
      </c>
      <c r="C2" s="37"/>
      <c r="D2" s="37"/>
      <c r="E2" s="37"/>
      <c r="F2" s="57"/>
      <c r="H2" t="str">
        <f t="shared" ref="H2:H8" si="0">B84</f>
        <v>Síntese dos resultados globais</v>
      </c>
    </row>
    <row r="3" spans="2:11" s="1" customFormat="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131">
        <f t="shared" ref="I3:K5" si="1">C85</f>
        <v>35549.999999999993</v>
      </c>
      <c r="J3" s="131" t="str">
        <f t="shared" si="1"/>
        <v>VA/UT</v>
      </c>
      <c r="K3" s="131">
        <f t="shared" si="1"/>
        <v>12052.933333333329</v>
      </c>
    </row>
    <row r="4" spans="2:11" customFormat="1" ht="21" x14ac:dyDescent="0.35">
      <c r="B4" s="40" t="s">
        <v>56</v>
      </c>
      <c r="C4" s="37"/>
      <c r="D4" s="37"/>
      <c r="E4" s="37"/>
      <c r="F4" s="57"/>
      <c r="G4" s="1"/>
      <c r="H4" s="2" t="str">
        <f t="shared" si="0"/>
        <v>Consumo intermediário</v>
      </c>
      <c r="I4" s="131">
        <f t="shared" si="1"/>
        <v>7882.4666666666672</v>
      </c>
      <c r="J4" s="131" t="str">
        <f t="shared" si="1"/>
        <v>VA/SAU</v>
      </c>
      <c r="K4" s="131">
        <f t="shared" si="1"/>
        <v>2410.5866666666657</v>
      </c>
    </row>
    <row r="5" spans="2:11" customFormat="1" x14ac:dyDescent="0.25">
      <c r="B5" s="2" t="s">
        <v>22</v>
      </c>
      <c r="C5" s="42">
        <v>10</v>
      </c>
      <c r="D5" s="1"/>
      <c r="E5" s="1"/>
      <c r="F5" s="56"/>
      <c r="H5" s="2" t="str">
        <f t="shared" si="0"/>
        <v>Valor agregado bruto</v>
      </c>
      <c r="I5" s="131">
        <f t="shared" si="1"/>
        <v>27667.533333333326</v>
      </c>
      <c r="J5" s="131" t="str">
        <f t="shared" si="1"/>
        <v>RA/UTF</v>
      </c>
      <c r="K5" s="131">
        <f t="shared" si="1"/>
        <v>11643.25833333333</v>
      </c>
    </row>
    <row r="6" spans="2:11" customFormat="1" x14ac:dyDescent="0.25">
      <c r="B6" s="2" t="s">
        <v>7</v>
      </c>
      <c r="C6" s="42">
        <v>2</v>
      </c>
      <c r="D6" s="1"/>
      <c r="E6" s="1"/>
      <c r="F6" s="56"/>
      <c r="H6" s="2" t="str">
        <f t="shared" si="0"/>
        <v>Depreciações</v>
      </c>
      <c r="I6" s="131">
        <f>C88</f>
        <v>3561.6666666666665</v>
      </c>
    </row>
    <row r="7" spans="2:11" s="1" customFormat="1" x14ac:dyDescent="0.25">
      <c r="B7" s="38"/>
      <c r="F7" s="56"/>
      <c r="H7" s="2" t="str">
        <f t="shared" si="0"/>
        <v>valor agregado</v>
      </c>
      <c r="I7" s="131">
        <f>C89</f>
        <v>24105.866666666658</v>
      </c>
      <c r="J7" s="131" t="s">
        <v>314</v>
      </c>
      <c r="K7" s="131">
        <f>880*13</f>
        <v>11440</v>
      </c>
    </row>
    <row r="8" spans="2:11" customFormat="1" ht="18.75" x14ac:dyDescent="0.3">
      <c r="B8" s="74" t="s">
        <v>57</v>
      </c>
      <c r="F8" s="56"/>
      <c r="H8" s="2" t="str">
        <f t="shared" si="0"/>
        <v>RA</v>
      </c>
      <c r="I8" s="131">
        <f>C90</f>
        <v>23286.516666666659</v>
      </c>
      <c r="J8" s="259"/>
      <c r="K8" s="259"/>
    </row>
    <row r="9" spans="2:11" customFormat="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customFormat="1" x14ac:dyDescent="0.25">
      <c r="B10" s="2" t="s">
        <v>23</v>
      </c>
      <c r="C10" s="42">
        <v>0.5</v>
      </c>
      <c r="D10" s="42">
        <f>800*C10</f>
        <v>400</v>
      </c>
      <c r="E10" s="46">
        <v>3.5</v>
      </c>
      <c r="F10" s="58">
        <f>D10*E10</f>
        <v>1400</v>
      </c>
      <c r="G10" s="54">
        <f t="shared" ref="G10:G13" si="2">(F10)*2.3%</f>
        <v>32.200000000000003</v>
      </c>
      <c r="H10" s="3"/>
      <c r="I10" s="3"/>
    </row>
    <row r="11" spans="2:11" customFormat="1" x14ac:dyDescent="0.25">
      <c r="B11" s="2" t="s">
        <v>24</v>
      </c>
      <c r="C11" s="42">
        <v>0.5</v>
      </c>
      <c r="D11" s="42">
        <f>1000*C11</f>
        <v>500</v>
      </c>
      <c r="E11" s="46">
        <v>3</v>
      </c>
      <c r="F11" s="58">
        <f>E11*D11</f>
        <v>1500</v>
      </c>
      <c r="G11" s="54">
        <f t="shared" si="2"/>
        <v>34.5</v>
      </c>
      <c r="H11" s="3"/>
      <c r="I11" s="3"/>
    </row>
    <row r="12" spans="2:11" customFormat="1" x14ac:dyDescent="0.25">
      <c r="B12" s="2" t="s">
        <v>25</v>
      </c>
      <c r="C12" s="42">
        <f>I21/I22</f>
        <v>8</v>
      </c>
      <c r="D12" s="42">
        <f>F19</f>
        <v>28080.000000000004</v>
      </c>
      <c r="E12" s="46">
        <v>0.8</v>
      </c>
      <c r="F12" s="58">
        <f t="shared" ref="F12:F14" si="3">E12*D12</f>
        <v>22464.000000000004</v>
      </c>
      <c r="G12" s="54">
        <f t="shared" si="2"/>
        <v>516.67200000000003</v>
      </c>
      <c r="H12" s="3"/>
      <c r="I12" s="3"/>
    </row>
    <row r="13" spans="2:11" s="1" customFormat="1" x14ac:dyDescent="0.25">
      <c r="B13" s="2" t="s">
        <v>88</v>
      </c>
      <c r="C13" s="42">
        <f>C12</f>
        <v>8</v>
      </c>
      <c r="D13" s="42">
        <f>E22</f>
        <v>1617.1999999999982</v>
      </c>
      <c r="E13" s="46">
        <f>F22</f>
        <v>5</v>
      </c>
      <c r="F13" s="58">
        <f t="shared" si="3"/>
        <v>8085.9999999999909</v>
      </c>
      <c r="G13" s="54">
        <f t="shared" si="2"/>
        <v>185.97799999999978</v>
      </c>
      <c r="H13" s="3"/>
      <c r="I13" s="3"/>
      <c r="J13" s="3"/>
    </row>
    <row r="14" spans="2:11" customFormat="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customFormat="1" x14ac:dyDescent="0.25">
      <c r="B15" s="5" t="s">
        <v>4</v>
      </c>
      <c r="C15" s="42">
        <f>C10+C11+C12+C14</f>
        <v>10</v>
      </c>
      <c r="F15" s="59">
        <f>SUM(F10:F14)</f>
        <v>35549.999999999993</v>
      </c>
      <c r="G15" s="46">
        <f>SUM(G10:G13)</f>
        <v>769.34999999999991</v>
      </c>
      <c r="I15" s="3"/>
      <c r="J15" s="3"/>
    </row>
    <row r="16" spans="2:11" customFormat="1" x14ac:dyDescent="0.25">
      <c r="B16" s="4"/>
      <c r="C16" s="1"/>
      <c r="D16" s="1"/>
      <c r="E16" s="1"/>
      <c r="F16" s="56"/>
      <c r="G16" s="51"/>
      <c r="H16" s="10"/>
    </row>
    <row r="17" spans="1:10" s="1" customFormat="1" x14ac:dyDescent="0.25">
      <c r="B17" s="4" t="s">
        <v>73</v>
      </c>
      <c r="D17" s="1" t="s">
        <v>86</v>
      </c>
      <c r="E17" s="1">
        <f>C12</f>
        <v>8</v>
      </c>
      <c r="F17" s="56" t="s">
        <v>87</v>
      </c>
      <c r="G17" s="51"/>
      <c r="H17" s="10"/>
    </row>
    <row r="18" spans="1:10" s="1" customFormat="1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1:10" s="1" customFormat="1" x14ac:dyDescent="0.25">
      <c r="B19" s="5" t="s">
        <v>25</v>
      </c>
      <c r="C19" s="49">
        <f>'Evolução reb'!K11</f>
        <v>10.4</v>
      </c>
      <c r="D19" s="42">
        <v>9</v>
      </c>
      <c r="E19" s="42">
        <f>C19*D19</f>
        <v>93.600000000000009</v>
      </c>
      <c r="F19" s="43">
        <f>E19*300</f>
        <v>28080.000000000004</v>
      </c>
      <c r="G19" s="46">
        <f>0.8</f>
        <v>0.8</v>
      </c>
      <c r="H19" s="52">
        <f>F19*G19</f>
        <v>22464.000000000004</v>
      </c>
    </row>
    <row r="20" spans="1:10" s="1" customFormat="1" x14ac:dyDescent="0.25">
      <c r="B20" s="4"/>
      <c r="F20" s="56"/>
      <c r="G20" s="51"/>
      <c r="H20" s="10"/>
    </row>
    <row r="21" spans="1:10" s="1" customFormat="1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reb'!L10</f>
        <v>13</v>
      </c>
    </row>
    <row r="22" spans="1:10" s="1" customFormat="1" x14ac:dyDescent="0.25">
      <c r="B22" s="5" t="s">
        <v>79</v>
      </c>
      <c r="C22" s="49">
        <f>'Evolução reb'!K15</f>
        <v>4.0429999999999957</v>
      </c>
      <c r="D22" s="42">
        <v>400</v>
      </c>
      <c r="E22" s="42">
        <f>C22*D22</f>
        <v>1617.1999999999982</v>
      </c>
      <c r="F22" s="43">
        <v>5</v>
      </c>
      <c r="G22" s="46">
        <f>F22*E22</f>
        <v>8085.9999999999909</v>
      </c>
      <c r="H22" s="2" t="s">
        <v>320</v>
      </c>
      <c r="I22" s="270">
        <v>1.625</v>
      </c>
      <c r="J22" s="1" t="s">
        <v>313</v>
      </c>
    </row>
    <row r="23" spans="1:10" s="1" customFormat="1" x14ac:dyDescent="0.25">
      <c r="B23" s="4"/>
      <c r="F23" s="56"/>
      <c r="G23" s="7"/>
    </row>
    <row r="24" spans="1:10" s="1" customFormat="1" ht="21" x14ac:dyDescent="0.35">
      <c r="B24" s="39" t="s">
        <v>2</v>
      </c>
      <c r="C24"/>
      <c r="D24"/>
      <c r="E24"/>
      <c r="F24" s="56"/>
      <c r="G24"/>
      <c r="H24"/>
    </row>
    <row r="25" spans="1:10" s="1" customFormat="1" x14ac:dyDescent="0.25">
      <c r="B25" s="18"/>
      <c r="C25" s="3"/>
      <c r="D25" s="21"/>
      <c r="E25" s="22"/>
      <c r="F25" s="60"/>
      <c r="G25" s="3"/>
    </row>
    <row r="26" spans="1:10" s="1" customFormat="1" x14ac:dyDescent="0.25">
      <c r="B26" s="18" t="s">
        <v>36</v>
      </c>
      <c r="C26" s="31"/>
      <c r="D26" s="27"/>
      <c r="E26" s="28"/>
      <c r="F26" s="61"/>
      <c r="G26" s="3"/>
      <c r="H26"/>
    </row>
    <row r="27" spans="1:10" x14ac:dyDescent="0.25">
      <c r="A27"/>
      <c r="B27" s="19" t="s">
        <v>27</v>
      </c>
      <c r="C27" s="14" t="s">
        <v>37</v>
      </c>
      <c r="D27" s="13" t="s">
        <v>43</v>
      </c>
      <c r="E27" s="20">
        <f>C10</f>
        <v>0.5</v>
      </c>
      <c r="F27" s="19" t="s">
        <v>87</v>
      </c>
      <c r="G27" s="3"/>
      <c r="H27" s="1"/>
    </row>
    <row r="28" spans="1:10" s="1" customFormat="1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1:10" s="1" customFormat="1" x14ac:dyDescent="0.25">
      <c r="B29" s="19" t="s">
        <v>99</v>
      </c>
      <c r="C29" s="68">
        <f>3*E27</f>
        <v>1.5</v>
      </c>
      <c r="D29" s="48" t="s">
        <v>160</v>
      </c>
      <c r="E29" s="30">
        <v>30</v>
      </c>
      <c r="F29" s="72">
        <f>C29*E29</f>
        <v>45</v>
      </c>
      <c r="G29" s="3"/>
    </row>
    <row r="30" spans="1:10" s="1" customFormat="1" x14ac:dyDescent="0.25">
      <c r="B30" s="19" t="s">
        <v>104</v>
      </c>
      <c r="C30" s="53">
        <f>C34</f>
        <v>50</v>
      </c>
      <c r="D30" s="48" t="s">
        <v>8</v>
      </c>
      <c r="E30" s="30">
        <f>23/60</f>
        <v>0.38333333333333336</v>
      </c>
      <c r="F30" s="72">
        <f>C30*E30</f>
        <v>19.166666666666668</v>
      </c>
      <c r="G30" s="3"/>
      <c r="H30"/>
    </row>
    <row r="31" spans="1:10" x14ac:dyDescent="0.25">
      <c r="A31"/>
      <c r="B31" s="19" t="s">
        <v>105</v>
      </c>
      <c r="C31" s="53">
        <f>15*E27</f>
        <v>7.5</v>
      </c>
      <c r="D31" s="48" t="s">
        <v>8</v>
      </c>
      <c r="E31" s="30">
        <f>10</f>
        <v>10</v>
      </c>
      <c r="F31" s="72">
        <f>C31*E31</f>
        <v>75</v>
      </c>
      <c r="G31" s="3"/>
      <c r="H31" s="1"/>
    </row>
    <row r="32" spans="1:10" s="1" customFormat="1" x14ac:dyDescent="0.25">
      <c r="B32" s="19" t="s">
        <v>6</v>
      </c>
      <c r="C32" s="70">
        <f>50*2*E27</f>
        <v>50</v>
      </c>
      <c r="D32" s="48" t="s">
        <v>8</v>
      </c>
      <c r="E32" s="16">
        <v>0.4</v>
      </c>
      <c r="F32" s="72">
        <f t="shared" ref="F32:F33" si="4">C32*E32</f>
        <v>20</v>
      </c>
      <c r="G32" s="3"/>
    </row>
    <row r="33" spans="1:8" s="1" customFormat="1" x14ac:dyDescent="0.25">
      <c r="B33" s="19" t="s">
        <v>34</v>
      </c>
      <c r="C33" s="70">
        <f>100*E27</f>
        <v>50</v>
      </c>
      <c r="D33" s="42" t="s">
        <v>8</v>
      </c>
      <c r="E33" s="17">
        <v>0.61</v>
      </c>
      <c r="F33" s="72">
        <f t="shared" si="4"/>
        <v>30.5</v>
      </c>
      <c r="G33" s="3"/>
    </row>
    <row r="34" spans="1:8" s="1" customFormat="1" x14ac:dyDescent="0.25">
      <c r="B34" s="19" t="s">
        <v>44</v>
      </c>
      <c r="C34" s="48">
        <f>D10/8</f>
        <v>50</v>
      </c>
      <c r="D34" s="48" t="s">
        <v>8</v>
      </c>
      <c r="E34" s="30">
        <v>1.2</v>
      </c>
      <c r="F34" s="72">
        <f>C34*E34</f>
        <v>60</v>
      </c>
      <c r="G34" s="3"/>
      <c r="H34"/>
    </row>
    <row r="35" spans="1:8" x14ac:dyDescent="0.25">
      <c r="A35"/>
      <c r="B35" s="19" t="s">
        <v>45</v>
      </c>
      <c r="C35" s="48">
        <f>12/2.5*E27</f>
        <v>2.4</v>
      </c>
      <c r="D35" s="48" t="s">
        <v>33</v>
      </c>
      <c r="E35" s="30">
        <v>97</v>
      </c>
      <c r="F35" s="72">
        <f>C35*E35</f>
        <v>232.79999999999998</v>
      </c>
      <c r="G35" s="3"/>
    </row>
    <row r="36" spans="1:8" x14ac:dyDescent="0.25">
      <c r="A36"/>
      <c r="B36" s="19" t="s">
        <v>48</v>
      </c>
      <c r="C36" s="48">
        <f>D10*1.1</f>
        <v>440.00000000000006</v>
      </c>
      <c r="D36" s="48" t="s">
        <v>26</v>
      </c>
      <c r="E36" s="30">
        <v>1</v>
      </c>
      <c r="F36" s="72">
        <f>C36*E36</f>
        <v>440.00000000000006</v>
      </c>
      <c r="G36" s="3"/>
      <c r="H36" s="1"/>
    </row>
    <row r="37" spans="1:8" s="1" customFormat="1" x14ac:dyDescent="0.25">
      <c r="B37" s="29"/>
      <c r="C37" s="15"/>
      <c r="D37" s="15"/>
      <c r="E37" s="30" t="s">
        <v>4</v>
      </c>
      <c r="F37" s="73">
        <f>SUM(F29:F36)</f>
        <v>922.4666666666667</v>
      </c>
      <c r="G37" s="119">
        <f>F37/E27</f>
        <v>1844.9333333333334</v>
      </c>
    </row>
    <row r="38" spans="1:8" s="1" customFormat="1" x14ac:dyDescent="0.25">
      <c r="E38" s="23"/>
      <c r="F38" s="56"/>
      <c r="G38" s="3"/>
    </row>
    <row r="39" spans="1:8" s="1" customFormat="1" x14ac:dyDescent="0.25">
      <c r="B39" s="18" t="s">
        <v>91</v>
      </c>
      <c r="E39" s="23"/>
      <c r="F39" s="56"/>
      <c r="G39" s="3"/>
      <c r="H39"/>
    </row>
    <row r="40" spans="1:8" x14ac:dyDescent="0.25">
      <c r="A40"/>
      <c r="B40" s="19" t="s">
        <v>27</v>
      </c>
      <c r="C40" s="13" t="s">
        <v>92</v>
      </c>
      <c r="D40" s="13" t="s">
        <v>39</v>
      </c>
      <c r="E40" s="24">
        <f>C12</f>
        <v>8</v>
      </c>
      <c r="F40" s="5"/>
      <c r="G40" s="3"/>
    </row>
    <row r="41" spans="1:8" x14ac:dyDescent="0.25">
      <c r="A41"/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  <c r="H41" s="1"/>
    </row>
    <row r="42" spans="1:8" s="1" customFormat="1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720</v>
      </c>
      <c r="G42" s="3"/>
    </row>
    <row r="43" spans="1:8" s="1" customFormat="1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384</v>
      </c>
      <c r="G43" s="3"/>
    </row>
    <row r="44" spans="1:8" s="1" customFormat="1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1080</v>
      </c>
      <c r="G44" s="3"/>
    </row>
    <row r="45" spans="1:8" s="1" customFormat="1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488</v>
      </c>
      <c r="G45" s="3"/>
      <c r="H45"/>
    </row>
    <row r="46" spans="1:8" x14ac:dyDescent="0.25">
      <c r="A46"/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480</v>
      </c>
      <c r="G46" s="3"/>
      <c r="H46" s="1"/>
    </row>
    <row r="47" spans="1:8" s="1" customFormat="1" x14ac:dyDescent="0.25">
      <c r="B47" s="18"/>
      <c r="C47" s="3"/>
      <c r="D47" s="3"/>
      <c r="E47" s="25"/>
      <c r="F47" s="64">
        <f>SUM(F42:F46)</f>
        <v>3152</v>
      </c>
      <c r="G47" s="3"/>
      <c r="H47"/>
    </row>
    <row r="48" spans="1:8" s="1" customFormat="1" x14ac:dyDescent="0.25">
      <c r="B48" s="18"/>
      <c r="C48" s="3"/>
      <c r="D48" s="3"/>
      <c r="E48" s="25"/>
      <c r="F48" s="26"/>
      <c r="G48" s="3"/>
    </row>
    <row r="49" spans="1:8" s="1" customFormat="1" x14ac:dyDescent="0.25">
      <c r="B49" s="19" t="s">
        <v>27</v>
      </c>
      <c r="C49" s="13" t="s">
        <v>94</v>
      </c>
      <c r="D49" s="13" t="s">
        <v>39</v>
      </c>
      <c r="E49" s="24">
        <f>E40</f>
        <v>8</v>
      </c>
      <c r="F49" s="5"/>
      <c r="G49" s="3"/>
    </row>
    <row r="50" spans="1:8" s="1" customFormat="1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1:8" s="1" customFormat="1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960</v>
      </c>
      <c r="G51" s="3"/>
    </row>
    <row r="52" spans="1:8" s="1" customFormat="1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480</v>
      </c>
      <c r="G52" s="3"/>
    </row>
    <row r="53" spans="1:8" s="1" customFormat="1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1080</v>
      </c>
      <c r="G53" s="3"/>
    </row>
    <row r="54" spans="1:8" x14ac:dyDescent="0.25">
      <c r="A54"/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488</v>
      </c>
      <c r="G54" s="3"/>
      <c r="H54" s="3"/>
    </row>
    <row r="55" spans="1:8" s="1" customFormat="1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480</v>
      </c>
      <c r="G55" s="3"/>
      <c r="H55" s="3"/>
    </row>
    <row r="56" spans="1:8" s="1" customFormat="1" x14ac:dyDescent="0.25">
      <c r="B56" s="18"/>
      <c r="C56" s="3"/>
      <c r="D56" s="3"/>
      <c r="E56" s="25"/>
      <c r="F56" s="64">
        <f>SUM(F51:F55)</f>
        <v>3488</v>
      </c>
      <c r="G56" s="3"/>
      <c r="H56" s="3"/>
    </row>
    <row r="57" spans="1:8" s="3" customFormat="1" x14ac:dyDescent="0.25">
      <c r="B57" s="18" t="s">
        <v>46</v>
      </c>
      <c r="C57" s="1"/>
      <c r="D57" s="1"/>
      <c r="E57" s="23"/>
      <c r="F57" s="56"/>
    </row>
    <row r="58" spans="1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0.5</v>
      </c>
      <c r="F58" s="5"/>
    </row>
    <row r="59" spans="1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1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60</v>
      </c>
    </row>
    <row r="61" spans="1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60</v>
      </c>
    </row>
    <row r="62" spans="1:8" s="3" customFormat="1" x14ac:dyDescent="0.25">
      <c r="B62" s="18"/>
      <c r="E62" s="25"/>
      <c r="F62" s="64">
        <f>SUM(F60:F61)</f>
        <v>120</v>
      </c>
      <c r="G62" s="1"/>
      <c r="H62" s="1"/>
    </row>
    <row r="63" spans="1:8" s="1" customFormat="1" x14ac:dyDescent="0.25">
      <c r="B63" s="18"/>
      <c r="C63" s="3"/>
      <c r="D63" s="3"/>
      <c r="E63" s="25"/>
      <c r="F63" s="26"/>
    </row>
    <row r="64" spans="1:8" s="1" customFormat="1" x14ac:dyDescent="0.25">
      <c r="B64" s="19" t="s">
        <v>47</v>
      </c>
      <c r="C64" s="5">
        <f>200*C14</f>
        <v>200</v>
      </c>
      <c r="D64" s="3"/>
      <c r="E64" s="25"/>
      <c r="F64" s="26"/>
    </row>
    <row r="65" spans="1:10" s="1" customFormat="1" x14ac:dyDescent="0.25">
      <c r="B65" s="18"/>
      <c r="C65" s="3"/>
      <c r="D65" s="3"/>
      <c r="E65" s="25"/>
      <c r="F65" s="26"/>
    </row>
    <row r="66" spans="1:10" s="1" customFormat="1" x14ac:dyDescent="0.25">
      <c r="B66" s="18"/>
      <c r="C66" s="3"/>
      <c r="D66" s="3"/>
      <c r="E66" s="25"/>
      <c r="F66" s="26"/>
    </row>
    <row r="67" spans="1:10" s="1" customFormat="1" x14ac:dyDescent="0.25">
      <c r="B67" s="1" t="s">
        <v>5</v>
      </c>
      <c r="F67" s="56"/>
      <c r="G67"/>
      <c r="H67"/>
    </row>
    <row r="68" spans="1:10" x14ac:dyDescent="0.25">
      <c r="A68"/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1:10" x14ac:dyDescent="0.25">
      <c r="A69"/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1:10" x14ac:dyDescent="0.25">
      <c r="A70"/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  <c r="G70" s="1"/>
      <c r="H70" s="1"/>
    </row>
    <row r="71" spans="1:10" s="1" customFormat="1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1:10" s="1" customFormat="1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1:10" s="1" customFormat="1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1:10" s="1" customFormat="1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  <c r="H74"/>
    </row>
    <row r="75" spans="1:10" x14ac:dyDescent="0.25">
      <c r="A75"/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1:10" x14ac:dyDescent="0.25">
      <c r="A76"/>
      <c r="B76" s="4"/>
      <c r="C76" s="1"/>
      <c r="D76" s="1"/>
      <c r="E76" s="1"/>
      <c r="F76" s="65"/>
      <c r="G76" s="1"/>
      <c r="H76" s="1"/>
    </row>
    <row r="77" spans="1:10" s="1" customFormat="1" x14ac:dyDescent="0.25">
      <c r="B77" s="4"/>
      <c r="F77" s="65"/>
    </row>
    <row r="78" spans="1:10" s="1" customFormat="1" x14ac:dyDescent="0.25">
      <c r="B78" s="12" t="s">
        <v>49</v>
      </c>
      <c r="F78" s="56"/>
    </row>
    <row r="79" spans="1:10" s="1" customFormat="1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1:10" s="1" customFormat="1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769.34999999999991</v>
      </c>
      <c r="G80" s="35"/>
      <c r="H80" s="34"/>
    </row>
    <row r="81" spans="1:9" s="1" customFormat="1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1:9" s="1" customFormat="1" x14ac:dyDescent="0.25">
      <c r="B82" s="19" t="s">
        <v>54</v>
      </c>
      <c r="C82" s="2"/>
      <c r="D82" s="2"/>
      <c r="E82" s="2"/>
      <c r="F82" s="67">
        <f>F81+F80</f>
        <v>819.34999999999991</v>
      </c>
      <c r="G82" s="35"/>
      <c r="H82" s="3"/>
    </row>
    <row r="83" spans="1:9" x14ac:dyDescent="0.25">
      <c r="A83"/>
      <c r="B83" s="1"/>
      <c r="C83" s="1"/>
      <c r="D83" s="1"/>
      <c r="E83" s="1"/>
      <c r="G83" s="1"/>
      <c r="H83" s="1"/>
      <c r="I83" s="36"/>
    </row>
    <row r="84" spans="1:9" x14ac:dyDescent="0.25">
      <c r="A84"/>
      <c r="B84" s="18" t="s">
        <v>58</v>
      </c>
      <c r="C84" s="1"/>
      <c r="D84" s="1"/>
      <c r="E84" s="1"/>
      <c r="G84" s="1"/>
      <c r="H84" s="1"/>
      <c r="I84" s="33"/>
    </row>
    <row r="85" spans="1:9" s="1" customFormat="1" x14ac:dyDescent="0.25">
      <c r="B85" s="2" t="s">
        <v>57</v>
      </c>
      <c r="C85" s="6">
        <f>F15</f>
        <v>35549.999999999993</v>
      </c>
      <c r="D85" s="2" t="s">
        <v>202</v>
      </c>
      <c r="E85" s="9">
        <f>C89/C6</f>
        <v>12052.933333333329</v>
      </c>
      <c r="F85" s="56"/>
      <c r="G85"/>
      <c r="H85"/>
      <c r="I85" s="33"/>
    </row>
    <row r="86" spans="1:9" x14ac:dyDescent="0.25">
      <c r="A86"/>
      <c r="B86" s="2" t="s">
        <v>21</v>
      </c>
      <c r="C86" s="9">
        <f>F37+F47+F56+F62+C64</f>
        <v>7882.4666666666672</v>
      </c>
      <c r="D86" s="2" t="s">
        <v>18</v>
      </c>
      <c r="E86" s="9">
        <f>C89/C5</f>
        <v>2410.5866666666657</v>
      </c>
    </row>
    <row r="87" spans="1:9" x14ac:dyDescent="0.25">
      <c r="A87"/>
      <c r="B87" s="2" t="s">
        <v>55</v>
      </c>
      <c r="C87" s="6">
        <f>C85-C86</f>
        <v>27667.533333333326</v>
      </c>
      <c r="D87" s="2" t="s">
        <v>330</v>
      </c>
      <c r="E87" s="9">
        <f>C90/C6</f>
        <v>11643.25833333333</v>
      </c>
      <c r="G87" s="1"/>
      <c r="H87" s="1"/>
    </row>
    <row r="88" spans="1:9" s="1" customFormat="1" x14ac:dyDescent="0.25">
      <c r="B88" s="2" t="s">
        <v>5</v>
      </c>
      <c r="C88" s="9">
        <f>F75</f>
        <v>3561.6666666666665</v>
      </c>
      <c r="D88"/>
      <c r="E88"/>
      <c r="F88" s="56"/>
      <c r="G88"/>
      <c r="H88"/>
    </row>
    <row r="89" spans="1:9" x14ac:dyDescent="0.25">
      <c r="A89"/>
      <c r="B89" s="2" t="s">
        <v>15</v>
      </c>
      <c r="C89" s="9">
        <f>C85-C86-C88</f>
        <v>24105.866666666658</v>
      </c>
    </row>
    <row r="90" spans="1:9" x14ac:dyDescent="0.25">
      <c r="A90"/>
      <c r="B90" s="5" t="s">
        <v>16</v>
      </c>
      <c r="C90" s="9">
        <f>C89-F82</f>
        <v>23286.516666666659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showGridLines="0" workbookViewId="0">
      <selection activeCell="C12" sqref="C12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22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1" x14ac:dyDescent="0.25">
      <c r="B1" s="31" t="s">
        <v>150</v>
      </c>
    </row>
    <row r="2" spans="2:11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23380</v>
      </c>
      <c r="J3" s="2" t="str">
        <f t="shared" si="1"/>
        <v>valor/Utf</v>
      </c>
      <c r="K3" s="50">
        <f t="shared" si="1"/>
        <v>7740.5461538461541</v>
      </c>
    </row>
    <row r="4" spans="2:11" ht="2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4337.2410256410258</v>
      </c>
      <c r="J4" s="2" t="str">
        <f t="shared" si="1"/>
        <v>VA/SAU</v>
      </c>
      <c r="K4" s="50">
        <f t="shared" si="1"/>
        <v>1548.1092307692309</v>
      </c>
    </row>
    <row r="5" spans="2:11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19042.758974358974</v>
      </c>
      <c r="J5" s="2" t="str">
        <f t="shared" si="1"/>
        <v>RA/UTf</v>
      </c>
      <c r="K5" s="50">
        <f t="shared" si="1"/>
        <v>7470.8261538461538</v>
      </c>
    </row>
    <row r="6" spans="2:11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1" x14ac:dyDescent="0.25">
      <c r="B7" s="38"/>
      <c r="H7" s="2" t="str">
        <f t="shared" si="0"/>
        <v>valor agregado</v>
      </c>
      <c r="I7" s="44">
        <f>C89</f>
        <v>15481.092307692308</v>
      </c>
    </row>
    <row r="8" spans="2:11" ht="18.75" x14ac:dyDescent="0.3">
      <c r="B8" s="74" t="s">
        <v>57</v>
      </c>
      <c r="H8" s="2" t="str">
        <f t="shared" si="0"/>
        <v>RA</v>
      </c>
      <c r="I8" s="44">
        <f>C90</f>
        <v>14941.652307692308</v>
      </c>
    </row>
    <row r="9" spans="2:1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x14ac:dyDescent="0.25">
      <c r="B10" s="2" t="s">
        <v>23</v>
      </c>
      <c r="C10" s="42">
        <v>1</v>
      </c>
      <c r="D10" s="42">
        <f>800*C10</f>
        <v>800</v>
      </c>
      <c r="E10" s="46">
        <v>3.5</v>
      </c>
      <c r="F10" s="58">
        <f>D10*E10</f>
        <v>2800</v>
      </c>
      <c r="G10" s="54">
        <f t="shared" ref="G10:G13" si="2">(F10)*2.3%</f>
        <v>64.400000000000006</v>
      </c>
      <c r="H10" s="3"/>
      <c r="I10" s="3"/>
    </row>
    <row r="11" spans="2:11" x14ac:dyDescent="0.25">
      <c r="B11" s="2" t="s">
        <v>24</v>
      </c>
      <c r="C11" s="42">
        <v>4</v>
      </c>
      <c r="D11" s="42">
        <f>1000*C11</f>
        <v>4000</v>
      </c>
      <c r="E11" s="46">
        <v>3</v>
      </c>
      <c r="F11" s="58">
        <f>E11*D11</f>
        <v>12000</v>
      </c>
      <c r="G11" s="54">
        <f t="shared" si="2"/>
        <v>276</v>
      </c>
      <c r="H11" s="3"/>
      <c r="I11" s="3"/>
    </row>
    <row r="12" spans="2:11" x14ac:dyDescent="0.25">
      <c r="B12" s="2" t="s">
        <v>25</v>
      </c>
      <c r="C12" s="42">
        <f>I21/I22</f>
        <v>1.8461538461538463</v>
      </c>
      <c r="D12" s="42">
        <f>F19</f>
        <v>8100</v>
      </c>
      <c r="E12" s="46">
        <v>0.8</v>
      </c>
      <c r="F12" s="58">
        <f t="shared" ref="F12:F14" si="3">E12*D12</f>
        <v>6480</v>
      </c>
      <c r="G12" s="54">
        <f t="shared" si="2"/>
        <v>149.04</v>
      </c>
      <c r="H12" s="3"/>
      <c r="I12" s="3"/>
    </row>
    <row r="13" spans="2:11" x14ac:dyDescent="0.25">
      <c r="B13" s="2" t="s">
        <v>88</v>
      </c>
      <c r="C13" s="50">
        <f>C12</f>
        <v>1.8461538461538463</v>
      </c>
      <c r="D13" s="42">
        <f>E22</f>
        <v>0</v>
      </c>
      <c r="E13" s="46">
        <f>F22</f>
        <v>5</v>
      </c>
      <c r="F13" s="58">
        <f t="shared" si="3"/>
        <v>0</v>
      </c>
      <c r="G13" s="54">
        <f t="shared" si="2"/>
        <v>0</v>
      </c>
      <c r="H13" s="3"/>
      <c r="I13" s="3"/>
      <c r="J13" s="3"/>
    </row>
    <row r="14" spans="2:1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x14ac:dyDescent="0.25">
      <c r="B15" s="5" t="s">
        <v>4</v>
      </c>
      <c r="C15" s="42">
        <f>C10+C11+C12+C14</f>
        <v>7.8461538461538467</v>
      </c>
      <c r="F15" s="59">
        <f>SUM(F10:F14)</f>
        <v>23380</v>
      </c>
      <c r="G15" s="46">
        <f>SUM(G10:G13)</f>
        <v>489.43999999999994</v>
      </c>
      <c r="I15" s="3"/>
      <c r="J15" s="3"/>
    </row>
    <row r="16" spans="2:11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1.8461538461538463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93">
        <f>'Evolução reb'!B10</f>
        <v>3</v>
      </c>
      <c r="D19" s="42">
        <f>'Sit chegada'!D19</f>
        <v>9</v>
      </c>
      <c r="E19" s="42">
        <f>C19*D19</f>
        <v>27</v>
      </c>
      <c r="F19" s="43">
        <f>E19*300</f>
        <v>8100</v>
      </c>
      <c r="G19" s="46">
        <f>0.8</f>
        <v>0.8</v>
      </c>
      <c r="H19" s="52">
        <f>F19*G19</f>
        <v>6480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reb'!B10</f>
        <v>3</v>
      </c>
    </row>
    <row r="22" spans="2:9" x14ac:dyDescent="0.25">
      <c r="B22" s="5" t="s">
        <v>79</v>
      </c>
      <c r="C22" s="93">
        <f>'Evolução reb'!B15</f>
        <v>0</v>
      </c>
      <c r="D22" s="42">
        <v>400</v>
      </c>
      <c r="E22" s="42">
        <f>C22*D22</f>
        <v>0</v>
      </c>
      <c r="F22" s="43">
        <v>5</v>
      </c>
      <c r="G22" s="46">
        <f>F22*E22</f>
        <v>0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1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3</v>
      </c>
      <c r="D29" s="48" t="s">
        <v>160</v>
      </c>
      <c r="E29" s="30">
        <v>30</v>
      </c>
      <c r="F29" s="72">
        <f>C29*E29</f>
        <v>90</v>
      </c>
      <c r="G29" s="3"/>
    </row>
    <row r="30" spans="2:9" x14ac:dyDescent="0.25">
      <c r="B30" s="19" t="s">
        <v>104</v>
      </c>
      <c r="C30" s="53">
        <f>C34</f>
        <v>100</v>
      </c>
      <c r="D30" s="48" t="s">
        <v>8</v>
      </c>
      <c r="E30" s="30">
        <f>23/60</f>
        <v>0.38333333333333336</v>
      </c>
      <c r="F30" s="72">
        <f>C30*E30</f>
        <v>38.333333333333336</v>
      </c>
      <c r="G30" s="3"/>
    </row>
    <row r="31" spans="2:9" x14ac:dyDescent="0.25">
      <c r="B31" s="19" t="s">
        <v>105</v>
      </c>
      <c r="C31" s="53">
        <f>15*E27</f>
        <v>15</v>
      </c>
      <c r="D31" s="48" t="s">
        <v>8</v>
      </c>
      <c r="E31" s="30">
        <f>10</f>
        <v>10</v>
      </c>
      <c r="F31" s="72">
        <f>C31*E31</f>
        <v>150</v>
      </c>
      <c r="G31" s="3"/>
    </row>
    <row r="32" spans="2:9" x14ac:dyDescent="0.25">
      <c r="B32" s="19" t="s">
        <v>6</v>
      </c>
      <c r="C32" s="70">
        <f>50*2*E27</f>
        <v>100</v>
      </c>
      <c r="D32" s="48" t="s">
        <v>8</v>
      </c>
      <c r="E32" s="16">
        <v>0.4</v>
      </c>
      <c r="F32" s="72">
        <f t="shared" ref="F32:F33" si="4">C32*E32</f>
        <v>40</v>
      </c>
      <c r="G32" s="3"/>
    </row>
    <row r="33" spans="2:7" x14ac:dyDescent="0.25">
      <c r="B33" s="19" t="s">
        <v>34</v>
      </c>
      <c r="C33" s="70">
        <f>100*E27</f>
        <v>100</v>
      </c>
      <c r="D33" s="42" t="s">
        <v>8</v>
      </c>
      <c r="E33" s="17">
        <v>0.61</v>
      </c>
      <c r="F33" s="72">
        <f t="shared" si="4"/>
        <v>61</v>
      </c>
      <c r="G33" s="3"/>
    </row>
    <row r="34" spans="2:7" x14ac:dyDescent="0.25">
      <c r="B34" s="19" t="s">
        <v>44</v>
      </c>
      <c r="C34" s="48">
        <f>D10/8</f>
        <v>100</v>
      </c>
      <c r="D34" s="48" t="s">
        <v>8</v>
      </c>
      <c r="E34" s="30">
        <v>1.2</v>
      </c>
      <c r="F34" s="72">
        <f>C34*E34</f>
        <v>120</v>
      </c>
      <c r="G34" s="3"/>
    </row>
    <row r="35" spans="2:7" x14ac:dyDescent="0.25">
      <c r="B35" s="19" t="s">
        <v>45</v>
      </c>
      <c r="C35" s="48">
        <f>12/2.5*E27</f>
        <v>4.8</v>
      </c>
      <c r="D35" s="48" t="s">
        <v>33</v>
      </c>
      <c r="E35" s="30">
        <v>97</v>
      </c>
      <c r="F35" s="72">
        <f>C35*E35</f>
        <v>465.59999999999997</v>
      </c>
      <c r="G35" s="3"/>
    </row>
    <row r="36" spans="2:7" x14ac:dyDescent="0.25">
      <c r="B36" s="19" t="s">
        <v>48</v>
      </c>
      <c r="C36" s="48">
        <f>D10*1.1</f>
        <v>880.00000000000011</v>
      </c>
      <c r="D36" s="48" t="s">
        <v>26</v>
      </c>
      <c r="E36" s="30">
        <v>1</v>
      </c>
      <c r="F36" s="72">
        <f>C36*E36</f>
        <v>880.00000000000011</v>
      </c>
      <c r="G36" s="3"/>
    </row>
    <row r="37" spans="2:7" x14ac:dyDescent="0.25">
      <c r="B37" s="29"/>
      <c r="C37" s="15"/>
      <c r="D37" s="15"/>
      <c r="E37" s="30" t="s">
        <v>4</v>
      </c>
      <c r="F37" s="73">
        <f>SUM(F29:F36)</f>
        <v>1844.9333333333334</v>
      </c>
      <c r="G37" s="3"/>
    </row>
    <row r="38" spans="2:7" x14ac:dyDescent="0.25">
      <c r="E38" s="23"/>
      <c r="G38" s="3"/>
    </row>
    <row r="39" spans="2:7" x14ac:dyDescent="0.25">
      <c r="B39" s="18" t="s">
        <v>91</v>
      </c>
      <c r="E39" s="23"/>
      <c r="G39" s="3"/>
    </row>
    <row r="40" spans="2:7" x14ac:dyDescent="0.25">
      <c r="B40" s="19" t="s">
        <v>27</v>
      </c>
      <c r="C40" s="13" t="s">
        <v>92</v>
      </c>
      <c r="D40" s="13" t="s">
        <v>39</v>
      </c>
      <c r="E40" s="24">
        <f>C12</f>
        <v>1.8461538461538463</v>
      </c>
      <c r="F40" s="5"/>
      <c r="G40" s="3"/>
    </row>
    <row r="41" spans="2:7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7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166.15384615384616</v>
      </c>
      <c r="G42" s="3"/>
    </row>
    <row r="43" spans="2:7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88.615384615384613</v>
      </c>
      <c r="G43" s="3"/>
    </row>
    <row r="44" spans="2:7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249.23076923076925</v>
      </c>
      <c r="G44" s="3"/>
    </row>
    <row r="45" spans="2:7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112.61538461538463</v>
      </c>
      <c r="G45" s="3"/>
    </row>
    <row r="46" spans="2:7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110.76923076923077</v>
      </c>
      <c r="G46" s="3"/>
    </row>
    <row r="47" spans="2:7" x14ac:dyDescent="0.25">
      <c r="B47" s="18"/>
      <c r="C47" s="3"/>
      <c r="D47" s="3"/>
      <c r="E47" s="25"/>
      <c r="F47" s="64">
        <f>SUM(F42:F46)</f>
        <v>727.38461538461547</v>
      </c>
      <c r="G47" s="3"/>
    </row>
    <row r="48" spans="2:7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1.8461538461538463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221.53846153846155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110.76923076923077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249.23076923076925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112.61538461538463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110.76923076923077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804.92307692307691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4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480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480</v>
      </c>
    </row>
    <row r="62" spans="2:8" s="3" customFormat="1" x14ac:dyDescent="0.25">
      <c r="B62" s="18"/>
      <c r="E62" s="25"/>
      <c r="F62" s="64">
        <f>SUM(F60:F61)</f>
        <v>960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489.43999999999994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539.43999999999994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23380</v>
      </c>
      <c r="D85" s="2" t="s">
        <v>17</v>
      </c>
      <c r="E85" s="9">
        <f>C89/C6</f>
        <v>7740.5461538461541</v>
      </c>
      <c r="I85" s="33"/>
    </row>
    <row r="86" spans="2:9" x14ac:dyDescent="0.25">
      <c r="B86" s="2" t="s">
        <v>21</v>
      </c>
      <c r="C86" s="9">
        <f>F37+F47+F56+F62</f>
        <v>4337.2410256410258</v>
      </c>
      <c r="D86" s="2" t="s">
        <v>18</v>
      </c>
      <c r="E86" s="9">
        <f>C89/C5</f>
        <v>1548.1092307692309</v>
      </c>
    </row>
    <row r="87" spans="2:9" x14ac:dyDescent="0.25">
      <c r="B87" s="2" t="s">
        <v>55</v>
      </c>
      <c r="C87" s="6">
        <f>C85-C86</f>
        <v>19042.758974358974</v>
      </c>
      <c r="D87" s="2" t="s">
        <v>19</v>
      </c>
      <c r="E87" s="9">
        <f>C90/C6</f>
        <v>7470.8261538461538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15481.092307692308</v>
      </c>
    </row>
    <row r="90" spans="2:9" x14ac:dyDescent="0.25">
      <c r="B90" s="5" t="s">
        <v>16</v>
      </c>
      <c r="C90" s="9">
        <f>C89-F82</f>
        <v>14941.652307692308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showGridLines="0" workbookViewId="0">
      <selection activeCell="C12" sqref="C12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15.140625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1" x14ac:dyDescent="0.25">
      <c r="B1" s="31" t="s">
        <v>151</v>
      </c>
    </row>
    <row r="2" spans="2:11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22084</v>
      </c>
      <c r="J3" s="2" t="str">
        <f t="shared" si="1"/>
        <v>valor/Utf</v>
      </c>
      <c r="K3" s="50">
        <f t="shared" si="1"/>
        <v>7092.5461538461541</v>
      </c>
    </row>
    <row r="4" spans="2:11" ht="2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4337.2410256410258</v>
      </c>
      <c r="J4" s="2" t="str">
        <f t="shared" si="1"/>
        <v>VA/SAU</v>
      </c>
      <c r="K4" s="50">
        <f t="shared" si="1"/>
        <v>1418.5092307692307</v>
      </c>
    </row>
    <row r="5" spans="2:11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17746.758974358974</v>
      </c>
      <c r="J5" s="2" t="str">
        <f t="shared" si="1"/>
        <v>RA/UTf</v>
      </c>
      <c r="K5" s="50">
        <f t="shared" si="1"/>
        <v>6837.7301538461543</v>
      </c>
    </row>
    <row r="6" spans="2:11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1" x14ac:dyDescent="0.25">
      <c r="B7" s="38"/>
      <c r="H7" s="2" t="str">
        <f t="shared" si="0"/>
        <v>valor agregado</v>
      </c>
      <c r="I7" s="44">
        <f>C89</f>
        <v>14185.092307692308</v>
      </c>
    </row>
    <row r="8" spans="2:11" ht="18.75" x14ac:dyDescent="0.3">
      <c r="B8" s="74" t="s">
        <v>57</v>
      </c>
      <c r="H8" s="2" t="str">
        <f t="shared" si="0"/>
        <v>RA</v>
      </c>
      <c r="I8" s="44">
        <f>C90</f>
        <v>13675.460307692309</v>
      </c>
    </row>
    <row r="9" spans="2:1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x14ac:dyDescent="0.25">
      <c r="B10" s="2" t="s">
        <v>23</v>
      </c>
      <c r="C10" s="42">
        <v>1</v>
      </c>
      <c r="D10" s="42">
        <f>800*C10</f>
        <v>800</v>
      </c>
      <c r="E10" s="46">
        <v>3.5</v>
      </c>
      <c r="F10" s="58">
        <f>D10*E10</f>
        <v>2800</v>
      </c>
      <c r="G10" s="54">
        <f t="shared" ref="G10:G13" si="2">(F10)*2.3%</f>
        <v>64.400000000000006</v>
      </c>
      <c r="H10" s="3"/>
      <c r="I10" s="3"/>
    </row>
    <row r="11" spans="2:11" x14ac:dyDescent="0.25">
      <c r="B11" s="2" t="s">
        <v>24</v>
      </c>
      <c r="C11" s="42">
        <v>4</v>
      </c>
      <c r="D11" s="42">
        <f>1000*C11</f>
        <v>4000</v>
      </c>
      <c r="E11" s="46">
        <v>3</v>
      </c>
      <c r="F11" s="58">
        <f>E11*D11</f>
        <v>12000</v>
      </c>
      <c r="G11" s="54">
        <f t="shared" si="2"/>
        <v>276</v>
      </c>
      <c r="H11" s="3"/>
      <c r="I11" s="3"/>
    </row>
    <row r="12" spans="2:11" x14ac:dyDescent="0.25">
      <c r="B12" s="2" t="s">
        <v>25</v>
      </c>
      <c r="C12" s="42">
        <f>I21/I22</f>
        <v>1.8461538461538463</v>
      </c>
      <c r="D12" s="42">
        <f>F19</f>
        <v>6480</v>
      </c>
      <c r="E12" s="46">
        <v>0.8</v>
      </c>
      <c r="F12" s="58">
        <f t="shared" ref="F12:F14" si="3">E12*D12</f>
        <v>5184</v>
      </c>
      <c r="G12" s="54">
        <f t="shared" si="2"/>
        <v>119.232</v>
      </c>
      <c r="H12" s="3"/>
      <c r="I12" s="3"/>
    </row>
    <row r="13" spans="2:11" x14ac:dyDescent="0.25">
      <c r="B13" s="2" t="s">
        <v>88</v>
      </c>
      <c r="C13" s="50">
        <f>C12</f>
        <v>1.8461538461538463</v>
      </c>
      <c r="D13" s="42">
        <f>E22</f>
        <v>0</v>
      </c>
      <c r="E13" s="46">
        <f>F22</f>
        <v>5</v>
      </c>
      <c r="F13" s="58">
        <f t="shared" si="3"/>
        <v>0</v>
      </c>
      <c r="G13" s="54">
        <f t="shared" si="2"/>
        <v>0</v>
      </c>
      <c r="H13" s="3"/>
      <c r="I13" s="3"/>
      <c r="J13" s="3"/>
    </row>
    <row r="14" spans="2:1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x14ac:dyDescent="0.25">
      <c r="B15" s="5" t="s">
        <v>4</v>
      </c>
      <c r="C15" s="42">
        <f>C10+C11+C12+C14</f>
        <v>7.8461538461538467</v>
      </c>
      <c r="F15" s="59">
        <f>SUM(F10:F14)</f>
        <v>22084</v>
      </c>
      <c r="G15" s="46">
        <f>SUM(G10:G13)</f>
        <v>459.63199999999995</v>
      </c>
      <c r="I15" s="3"/>
      <c r="J15" s="3"/>
    </row>
    <row r="16" spans="2:11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1.8461538461538463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93">
        <f>'Evolução reb'!C11</f>
        <v>2.4000000000000004</v>
      </c>
      <c r="D19" s="42">
        <f>'A1'!D19</f>
        <v>9</v>
      </c>
      <c r="E19" s="42">
        <f>C19*D19</f>
        <v>21.6</v>
      </c>
      <c r="F19" s="43">
        <f>E19*300</f>
        <v>6480</v>
      </c>
      <c r="G19" s="46">
        <f>0.8</f>
        <v>0.8</v>
      </c>
      <c r="H19" s="52">
        <f>F19*G19</f>
        <v>5184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reb'!C10</f>
        <v>3</v>
      </c>
    </row>
    <row r="22" spans="2:9" x14ac:dyDescent="0.25">
      <c r="B22" s="5" t="s">
        <v>79</v>
      </c>
      <c r="C22" s="49">
        <f>'Evolução reb'!C15</f>
        <v>0</v>
      </c>
      <c r="D22" s="42">
        <v>400</v>
      </c>
      <c r="E22" s="42">
        <f>C22*D22</f>
        <v>0</v>
      </c>
      <c r="F22" s="43">
        <v>5</v>
      </c>
      <c r="G22" s="46">
        <f>F22*E22</f>
        <v>0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1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3</v>
      </c>
      <c r="D29" s="48" t="s">
        <v>160</v>
      </c>
      <c r="E29" s="30">
        <v>30</v>
      </c>
      <c r="F29" s="72">
        <f>C29*E29</f>
        <v>90</v>
      </c>
      <c r="G29" s="3"/>
    </row>
    <row r="30" spans="2:9" x14ac:dyDescent="0.25">
      <c r="B30" s="19" t="s">
        <v>104</v>
      </c>
      <c r="C30" s="53">
        <f>C34</f>
        <v>100</v>
      </c>
      <c r="D30" s="48" t="s">
        <v>8</v>
      </c>
      <c r="E30" s="30">
        <f>23/60</f>
        <v>0.38333333333333336</v>
      </c>
      <c r="F30" s="72">
        <f>C30*E30</f>
        <v>38.333333333333336</v>
      </c>
      <c r="G30" s="3"/>
    </row>
    <row r="31" spans="2:9" x14ac:dyDescent="0.25">
      <c r="B31" s="19" t="s">
        <v>105</v>
      </c>
      <c r="C31" s="53">
        <f>15*E27</f>
        <v>15</v>
      </c>
      <c r="D31" s="48" t="s">
        <v>8</v>
      </c>
      <c r="E31" s="30">
        <f>10</f>
        <v>10</v>
      </c>
      <c r="F31" s="72">
        <f>C31*E31</f>
        <v>150</v>
      </c>
      <c r="G31" s="3"/>
    </row>
    <row r="32" spans="2:9" x14ac:dyDescent="0.25">
      <c r="B32" s="19" t="s">
        <v>6</v>
      </c>
      <c r="C32" s="70">
        <f>50*2*E27</f>
        <v>100</v>
      </c>
      <c r="D32" s="48" t="s">
        <v>8</v>
      </c>
      <c r="E32" s="16">
        <v>0.4</v>
      </c>
      <c r="F32" s="72">
        <f t="shared" ref="F32:F33" si="4">C32*E32</f>
        <v>40</v>
      </c>
      <c r="G32" s="3"/>
    </row>
    <row r="33" spans="2:7" x14ac:dyDescent="0.25">
      <c r="B33" s="19" t="s">
        <v>34</v>
      </c>
      <c r="C33" s="70">
        <f>100*E27</f>
        <v>100</v>
      </c>
      <c r="D33" s="42" t="s">
        <v>8</v>
      </c>
      <c r="E33" s="17">
        <v>0.61</v>
      </c>
      <c r="F33" s="72">
        <f t="shared" si="4"/>
        <v>61</v>
      </c>
      <c r="G33" s="3"/>
    </row>
    <row r="34" spans="2:7" x14ac:dyDescent="0.25">
      <c r="B34" s="19" t="s">
        <v>44</v>
      </c>
      <c r="C34" s="48">
        <f>D10/8</f>
        <v>100</v>
      </c>
      <c r="D34" s="48" t="s">
        <v>8</v>
      </c>
      <c r="E34" s="30">
        <v>1.2</v>
      </c>
      <c r="F34" s="72">
        <f>C34*E34</f>
        <v>120</v>
      </c>
      <c r="G34" s="3"/>
    </row>
    <row r="35" spans="2:7" x14ac:dyDescent="0.25">
      <c r="B35" s="19" t="s">
        <v>45</v>
      </c>
      <c r="C35" s="48">
        <f>12/2.5*E27</f>
        <v>4.8</v>
      </c>
      <c r="D35" s="48" t="s">
        <v>33</v>
      </c>
      <c r="E35" s="30">
        <v>97</v>
      </c>
      <c r="F35" s="72">
        <f>C35*E35</f>
        <v>465.59999999999997</v>
      </c>
      <c r="G35" s="3"/>
    </row>
    <row r="36" spans="2:7" x14ac:dyDescent="0.25">
      <c r="B36" s="19" t="s">
        <v>48</v>
      </c>
      <c r="C36" s="48">
        <f>D10*1.1</f>
        <v>880.00000000000011</v>
      </c>
      <c r="D36" s="48" t="s">
        <v>26</v>
      </c>
      <c r="E36" s="30">
        <v>1</v>
      </c>
      <c r="F36" s="72">
        <f>C36*E36</f>
        <v>880.00000000000011</v>
      </c>
      <c r="G36" s="3"/>
    </row>
    <row r="37" spans="2:7" x14ac:dyDescent="0.25">
      <c r="B37" s="29"/>
      <c r="C37" s="15"/>
      <c r="D37" s="15"/>
      <c r="E37" s="30" t="s">
        <v>4</v>
      </c>
      <c r="F37" s="73">
        <f>SUM(F29:F36)</f>
        <v>1844.9333333333334</v>
      </c>
      <c r="G37" s="3"/>
    </row>
    <row r="38" spans="2:7" x14ac:dyDescent="0.25">
      <c r="E38" s="23"/>
      <c r="G38" s="3"/>
    </row>
    <row r="39" spans="2:7" x14ac:dyDescent="0.25">
      <c r="B39" s="18" t="s">
        <v>91</v>
      </c>
      <c r="E39" s="23"/>
      <c r="G39" s="3"/>
    </row>
    <row r="40" spans="2:7" x14ac:dyDescent="0.25">
      <c r="B40" s="19" t="s">
        <v>27</v>
      </c>
      <c r="C40" s="13" t="s">
        <v>92</v>
      </c>
      <c r="D40" s="13" t="s">
        <v>39</v>
      </c>
      <c r="E40" s="24">
        <f>C12</f>
        <v>1.8461538461538463</v>
      </c>
      <c r="F40" s="5"/>
      <c r="G40" s="3"/>
    </row>
    <row r="41" spans="2:7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7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166.15384615384616</v>
      </c>
      <c r="G42" s="3"/>
    </row>
    <row r="43" spans="2:7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88.615384615384613</v>
      </c>
      <c r="G43" s="3"/>
    </row>
    <row r="44" spans="2:7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249.23076923076925</v>
      </c>
      <c r="G44" s="3"/>
    </row>
    <row r="45" spans="2:7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112.61538461538463</v>
      </c>
      <c r="G45" s="3"/>
    </row>
    <row r="46" spans="2:7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110.76923076923077</v>
      </c>
      <c r="G46" s="3"/>
    </row>
    <row r="47" spans="2:7" x14ac:dyDescent="0.25">
      <c r="B47" s="18"/>
      <c r="C47" s="3"/>
      <c r="D47" s="3"/>
      <c r="E47" s="25"/>
      <c r="F47" s="64">
        <f>SUM(F42:F46)</f>
        <v>727.38461538461547</v>
      </c>
      <c r="G47" s="3"/>
    </row>
    <row r="48" spans="2:7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1.8461538461538463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221.53846153846155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110.76923076923077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249.23076923076925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112.61538461538463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110.76923076923077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804.92307692307691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4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480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480</v>
      </c>
    </row>
    <row r="62" spans="2:8" s="3" customFormat="1" x14ac:dyDescent="0.25">
      <c r="B62" s="18"/>
      <c r="E62" s="25"/>
      <c r="F62" s="64">
        <f>SUM(F60:F61)</f>
        <v>960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459.63199999999995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509.63199999999995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22084</v>
      </c>
      <c r="D85" s="2" t="s">
        <v>17</v>
      </c>
      <c r="E85" s="9">
        <f>C89/C6</f>
        <v>7092.5461538461541</v>
      </c>
      <c r="I85" s="33"/>
    </row>
    <row r="86" spans="2:9" x14ac:dyDescent="0.25">
      <c r="B86" s="2" t="s">
        <v>21</v>
      </c>
      <c r="C86" s="9">
        <f>F37+F47+F56+F62</f>
        <v>4337.2410256410258</v>
      </c>
      <c r="D86" s="2" t="s">
        <v>18</v>
      </c>
      <c r="E86" s="9">
        <f>C89/C5</f>
        <v>1418.5092307692307</v>
      </c>
    </row>
    <row r="87" spans="2:9" x14ac:dyDescent="0.25">
      <c r="B87" s="2" t="s">
        <v>55</v>
      </c>
      <c r="C87" s="6">
        <f>C85-C86</f>
        <v>17746.758974358974</v>
      </c>
      <c r="D87" s="2" t="s">
        <v>19</v>
      </c>
      <c r="E87" s="9">
        <f>C90/C6</f>
        <v>6837.7301538461543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14185.092307692308</v>
      </c>
    </row>
    <row r="90" spans="2:9" x14ac:dyDescent="0.25">
      <c r="B90" s="5" t="s">
        <v>16</v>
      </c>
      <c r="C90" s="9">
        <f>C89-F82</f>
        <v>13675.460307692309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showGridLines="0" workbookViewId="0">
      <selection activeCell="C12" sqref="C12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19.85546875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1" x14ac:dyDescent="0.25">
      <c r="B1" s="31" t="s">
        <v>152</v>
      </c>
    </row>
    <row r="2" spans="2:11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25395.280000000002</v>
      </c>
      <c r="J3" s="2" t="str">
        <f t="shared" si="1"/>
        <v>valor/Utf</v>
      </c>
      <c r="K3" s="50">
        <f t="shared" si="1"/>
        <v>8509.9123076923079</v>
      </c>
    </row>
    <row r="4" spans="2:11" ht="2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4813.7887179487179</v>
      </c>
      <c r="J4" s="2" t="str">
        <f t="shared" si="1"/>
        <v>VA/SAU</v>
      </c>
      <c r="K4" s="50">
        <f t="shared" si="1"/>
        <v>1701.9824615384616</v>
      </c>
    </row>
    <row r="5" spans="2:11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20581.491282051284</v>
      </c>
      <c r="J5" s="2" t="str">
        <f t="shared" si="1"/>
        <v>RA/UTf</v>
      </c>
      <c r="K5" s="50">
        <f t="shared" si="1"/>
        <v>8217.0165876923074</v>
      </c>
    </row>
    <row r="6" spans="2:11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1" x14ac:dyDescent="0.25">
      <c r="B7" s="38"/>
      <c r="H7" s="2" t="str">
        <f t="shared" si="0"/>
        <v>valor agregado</v>
      </c>
      <c r="I7" s="44">
        <f>C89</f>
        <v>17019.824615384616</v>
      </c>
    </row>
    <row r="8" spans="2:11" ht="18.75" x14ac:dyDescent="0.3">
      <c r="B8" s="74" t="s">
        <v>57</v>
      </c>
      <c r="H8" s="2" t="str">
        <f t="shared" si="0"/>
        <v>RA</v>
      </c>
      <c r="I8" s="44">
        <f>C90</f>
        <v>16434.033175384615</v>
      </c>
    </row>
    <row r="9" spans="2:1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x14ac:dyDescent="0.25">
      <c r="B10" s="2" t="s">
        <v>23</v>
      </c>
      <c r="C10" s="42">
        <v>1</v>
      </c>
      <c r="D10" s="42">
        <f>800*C10</f>
        <v>800</v>
      </c>
      <c r="E10" s="46">
        <v>3.5</v>
      </c>
      <c r="F10" s="58">
        <f>D10*E10</f>
        <v>2800</v>
      </c>
      <c r="G10" s="54">
        <f t="shared" ref="G10:G13" si="2">(F10)*2.3%</f>
        <v>64.400000000000006</v>
      </c>
      <c r="H10" s="3"/>
      <c r="I10" s="3"/>
    </row>
    <row r="11" spans="2:11" x14ac:dyDescent="0.25">
      <c r="B11" s="2" t="s">
        <v>24</v>
      </c>
      <c r="C11" s="42">
        <v>4</v>
      </c>
      <c r="D11" s="42">
        <f>1000*C11</f>
        <v>4000</v>
      </c>
      <c r="E11" s="46">
        <v>3</v>
      </c>
      <c r="F11" s="58">
        <f>E11*D11</f>
        <v>12000</v>
      </c>
      <c r="G11" s="54">
        <f t="shared" si="2"/>
        <v>276</v>
      </c>
      <c r="H11" s="3"/>
      <c r="I11" s="3"/>
    </row>
    <row r="12" spans="2:11" x14ac:dyDescent="0.25">
      <c r="B12" s="2" t="s">
        <v>25</v>
      </c>
      <c r="C12" s="42">
        <f>I21/I22</f>
        <v>2.4203076923076923</v>
      </c>
      <c r="D12" s="42">
        <f>F19</f>
        <v>10619.100000000002</v>
      </c>
      <c r="E12" s="46">
        <v>0.8</v>
      </c>
      <c r="F12" s="58">
        <f t="shared" ref="F12:F14" si="3">E12*D12</f>
        <v>8495.2800000000025</v>
      </c>
      <c r="G12" s="54">
        <f t="shared" si="2"/>
        <v>195.39144000000005</v>
      </c>
      <c r="H12" s="3"/>
      <c r="I12" s="3"/>
    </row>
    <row r="13" spans="2:11" x14ac:dyDescent="0.25">
      <c r="B13" s="2" t="s">
        <v>88</v>
      </c>
      <c r="C13" s="50">
        <f>C12</f>
        <v>2.4203076923076923</v>
      </c>
      <c r="D13" s="42">
        <f>E22</f>
        <v>0</v>
      </c>
      <c r="E13" s="46">
        <f>F22</f>
        <v>5</v>
      </c>
      <c r="F13" s="58">
        <f t="shared" si="3"/>
        <v>0</v>
      </c>
      <c r="G13" s="54">
        <f t="shared" si="2"/>
        <v>0</v>
      </c>
      <c r="H13" s="3"/>
      <c r="I13" s="3"/>
      <c r="J13" s="3"/>
    </row>
    <row r="14" spans="2:1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x14ac:dyDescent="0.25">
      <c r="B15" s="5" t="s">
        <v>4</v>
      </c>
      <c r="C15" s="42">
        <f>C10+C11+C12+C14</f>
        <v>8.4203076923076914</v>
      </c>
      <c r="F15" s="59">
        <f>SUM(F10:F14)</f>
        <v>25395.280000000002</v>
      </c>
      <c r="G15" s="46">
        <f>SUM(G10:G13)</f>
        <v>535.79143999999997</v>
      </c>
      <c r="I15" s="3"/>
      <c r="J15" s="3"/>
    </row>
    <row r="16" spans="2:11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2.4203076923076923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49">
        <f>'Evolução reb'!D10</f>
        <v>3.9330000000000003</v>
      </c>
      <c r="D19" s="42">
        <f>'A1'!D19</f>
        <v>9</v>
      </c>
      <c r="E19" s="42">
        <f>C19*D19</f>
        <v>35.397000000000006</v>
      </c>
      <c r="F19" s="43">
        <f>E19*300</f>
        <v>10619.100000000002</v>
      </c>
      <c r="G19" s="46">
        <f>0.8</f>
        <v>0.8</v>
      </c>
      <c r="H19" s="52">
        <f>F19*G19</f>
        <v>8495.2800000000025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reb'!D10</f>
        <v>3.9330000000000003</v>
      </c>
    </row>
    <row r="22" spans="2:9" x14ac:dyDescent="0.25">
      <c r="B22" s="5" t="s">
        <v>79</v>
      </c>
      <c r="C22" s="49">
        <f>'Evolução reb'!D15</f>
        <v>0</v>
      </c>
      <c r="D22" s="42">
        <v>400</v>
      </c>
      <c r="E22" s="42">
        <f>C22*D22</f>
        <v>0</v>
      </c>
      <c r="F22" s="43">
        <v>5</v>
      </c>
      <c r="G22" s="46">
        <f>F22*E22</f>
        <v>0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1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3</v>
      </c>
      <c r="D29" s="48" t="s">
        <v>160</v>
      </c>
      <c r="E29" s="30">
        <v>30</v>
      </c>
      <c r="F29" s="72">
        <f>C29*E29</f>
        <v>90</v>
      </c>
      <c r="G29" s="3"/>
    </row>
    <row r="30" spans="2:9" x14ac:dyDescent="0.25">
      <c r="B30" s="19" t="s">
        <v>104</v>
      </c>
      <c r="C30" s="53">
        <f>C34</f>
        <v>100</v>
      </c>
      <c r="D30" s="48" t="s">
        <v>8</v>
      </c>
      <c r="E30" s="30">
        <f>23/60</f>
        <v>0.38333333333333336</v>
      </c>
      <c r="F30" s="72">
        <f>C30*E30</f>
        <v>38.333333333333336</v>
      </c>
      <c r="G30" s="3"/>
    </row>
    <row r="31" spans="2:9" x14ac:dyDescent="0.25">
      <c r="B31" s="19" t="s">
        <v>105</v>
      </c>
      <c r="C31" s="53">
        <f>15*E27</f>
        <v>15</v>
      </c>
      <c r="D31" s="48" t="s">
        <v>8</v>
      </c>
      <c r="E31" s="30">
        <f>10</f>
        <v>10</v>
      </c>
      <c r="F31" s="72">
        <f>C31*E31</f>
        <v>150</v>
      </c>
      <c r="G31" s="3"/>
    </row>
    <row r="32" spans="2:9" x14ac:dyDescent="0.25">
      <c r="B32" s="19" t="s">
        <v>6</v>
      </c>
      <c r="C32" s="70">
        <f>50*2*E27</f>
        <v>100</v>
      </c>
      <c r="D32" s="48" t="s">
        <v>8</v>
      </c>
      <c r="E32" s="16">
        <v>0.4</v>
      </c>
      <c r="F32" s="72">
        <f t="shared" ref="F32:F33" si="4">C32*E32</f>
        <v>40</v>
      </c>
      <c r="G32" s="3"/>
    </row>
    <row r="33" spans="2:7" x14ac:dyDescent="0.25">
      <c r="B33" s="19" t="s">
        <v>34</v>
      </c>
      <c r="C33" s="70">
        <f>100*E27</f>
        <v>100</v>
      </c>
      <c r="D33" s="42" t="s">
        <v>8</v>
      </c>
      <c r="E33" s="17">
        <v>0.61</v>
      </c>
      <c r="F33" s="72">
        <f t="shared" si="4"/>
        <v>61</v>
      </c>
      <c r="G33" s="3"/>
    </row>
    <row r="34" spans="2:7" x14ac:dyDescent="0.25">
      <c r="B34" s="19" t="s">
        <v>44</v>
      </c>
      <c r="C34" s="48">
        <f>D10/8</f>
        <v>100</v>
      </c>
      <c r="D34" s="48" t="s">
        <v>8</v>
      </c>
      <c r="E34" s="30">
        <v>1.2</v>
      </c>
      <c r="F34" s="72">
        <f>C34*E34</f>
        <v>120</v>
      </c>
      <c r="G34" s="3"/>
    </row>
    <row r="35" spans="2:7" x14ac:dyDescent="0.25">
      <c r="B35" s="19" t="s">
        <v>45</v>
      </c>
      <c r="C35" s="48">
        <f>12/2.5*E27</f>
        <v>4.8</v>
      </c>
      <c r="D35" s="48" t="s">
        <v>33</v>
      </c>
      <c r="E35" s="30">
        <v>97</v>
      </c>
      <c r="F35" s="72">
        <f>C35*E35</f>
        <v>465.59999999999997</v>
      </c>
      <c r="G35" s="3"/>
    </row>
    <row r="36" spans="2:7" x14ac:dyDescent="0.25">
      <c r="B36" s="19" t="s">
        <v>48</v>
      </c>
      <c r="C36" s="48">
        <f>D10*1.1</f>
        <v>880.00000000000011</v>
      </c>
      <c r="D36" s="48" t="s">
        <v>26</v>
      </c>
      <c r="E36" s="30">
        <v>1</v>
      </c>
      <c r="F36" s="72">
        <f>C36*E36</f>
        <v>880.00000000000011</v>
      </c>
      <c r="G36" s="3"/>
    </row>
    <row r="37" spans="2:7" x14ac:dyDescent="0.25">
      <c r="B37" s="29"/>
      <c r="C37" s="15"/>
      <c r="D37" s="15"/>
      <c r="E37" s="30" t="s">
        <v>4</v>
      </c>
      <c r="F37" s="73">
        <f>SUM(F29:F36)</f>
        <v>1844.9333333333334</v>
      </c>
      <c r="G37" s="3"/>
    </row>
    <row r="38" spans="2:7" x14ac:dyDescent="0.25">
      <c r="E38" s="23"/>
      <c r="G38" s="3"/>
    </row>
    <row r="39" spans="2:7" x14ac:dyDescent="0.25">
      <c r="B39" s="18" t="s">
        <v>91</v>
      </c>
      <c r="E39" s="23"/>
      <c r="G39" s="3"/>
    </row>
    <row r="40" spans="2:7" x14ac:dyDescent="0.25">
      <c r="B40" s="19" t="s">
        <v>27</v>
      </c>
      <c r="C40" s="13" t="s">
        <v>92</v>
      </c>
      <c r="D40" s="13" t="s">
        <v>39</v>
      </c>
      <c r="E40" s="24">
        <f>C12</f>
        <v>2.4203076923076923</v>
      </c>
      <c r="F40" s="5"/>
      <c r="G40" s="3"/>
    </row>
    <row r="41" spans="2:7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7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217.8276923076923</v>
      </c>
      <c r="G42" s="3"/>
    </row>
    <row r="43" spans="2:7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116.17476923076923</v>
      </c>
      <c r="G43" s="3"/>
    </row>
    <row r="44" spans="2:7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326.74153846153848</v>
      </c>
      <c r="G44" s="3"/>
    </row>
    <row r="45" spans="2:7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147.63876923076924</v>
      </c>
      <c r="G45" s="3"/>
    </row>
    <row r="46" spans="2:7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145.21846153846153</v>
      </c>
      <c r="G46" s="3"/>
    </row>
    <row r="47" spans="2:7" x14ac:dyDescent="0.25">
      <c r="B47" s="18"/>
      <c r="C47" s="3"/>
      <c r="D47" s="3"/>
      <c r="E47" s="25"/>
      <c r="F47" s="64">
        <f>SUM(F42:F46)</f>
        <v>953.60123076923082</v>
      </c>
      <c r="G47" s="3"/>
    </row>
    <row r="48" spans="2:7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2.4203076923076923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290.43692307692305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145.21846153846153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326.74153846153848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147.63876923076924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145.21846153846153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1055.2541538461537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4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480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480</v>
      </c>
    </row>
    <row r="62" spans="2:8" s="3" customFormat="1" x14ac:dyDescent="0.25">
      <c r="B62" s="18"/>
      <c r="E62" s="25"/>
      <c r="F62" s="64">
        <f>SUM(F60:F61)</f>
        <v>960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535.79143999999997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585.79143999999997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25395.280000000002</v>
      </c>
      <c r="D85" s="2" t="s">
        <v>17</v>
      </c>
      <c r="E85" s="9">
        <f>C89/C6</f>
        <v>8509.9123076923079</v>
      </c>
      <c r="I85" s="33"/>
    </row>
    <row r="86" spans="2:9" x14ac:dyDescent="0.25">
      <c r="B86" s="2" t="s">
        <v>21</v>
      </c>
      <c r="C86" s="9">
        <f>F37+F47+F56+F62</f>
        <v>4813.7887179487179</v>
      </c>
      <c r="D86" s="2" t="s">
        <v>18</v>
      </c>
      <c r="E86" s="9">
        <f>C89/C5</f>
        <v>1701.9824615384616</v>
      </c>
    </row>
    <row r="87" spans="2:9" x14ac:dyDescent="0.25">
      <c r="B87" s="2" t="s">
        <v>55</v>
      </c>
      <c r="C87" s="6">
        <f>C85-C86</f>
        <v>20581.491282051284</v>
      </c>
      <c r="D87" s="2" t="s">
        <v>19</v>
      </c>
      <c r="E87" s="9">
        <f>C90/C6</f>
        <v>8217.0165876923074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17019.824615384616</v>
      </c>
    </row>
    <row r="90" spans="2:9" x14ac:dyDescent="0.25">
      <c r="B90" s="5" t="s">
        <v>16</v>
      </c>
      <c r="C90" s="9">
        <f>C89-F82</f>
        <v>16434.033175384615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showGridLines="0" workbookViewId="0">
      <selection activeCell="C12" sqref="C12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15.140625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1" x14ac:dyDescent="0.25">
      <c r="B1" s="31" t="s">
        <v>153</v>
      </c>
    </row>
    <row r="2" spans="2:11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25227.836800000001</v>
      </c>
      <c r="J3" s="2" t="str">
        <f t="shared" si="1"/>
        <v>valor/Utf</v>
      </c>
      <c r="K3" s="50">
        <f t="shared" si="1"/>
        <v>8199.8305538461536</v>
      </c>
    </row>
    <row r="4" spans="2:11" ht="2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5266.5090256410258</v>
      </c>
      <c r="J4" s="2" t="str">
        <f t="shared" si="1"/>
        <v>VA/SAU</v>
      </c>
      <c r="K4" s="50">
        <f t="shared" si="1"/>
        <v>1639.9661107692307</v>
      </c>
    </row>
    <row r="5" spans="2:11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19961.327774358975</v>
      </c>
      <c r="J5" s="2" t="str">
        <f t="shared" si="1"/>
        <v>RA/UTf</v>
      </c>
      <c r="K5" s="50">
        <f t="shared" si="1"/>
        <v>7908.8604306461539</v>
      </c>
    </row>
    <row r="6" spans="2:11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1" x14ac:dyDescent="0.25">
      <c r="B7" s="38"/>
      <c r="H7" s="2" t="str">
        <f t="shared" si="0"/>
        <v>valor agregado</v>
      </c>
      <c r="I7" s="44">
        <f>C89</f>
        <v>16399.661107692307</v>
      </c>
    </row>
    <row r="8" spans="2:11" ht="18.75" x14ac:dyDescent="0.3">
      <c r="B8" s="74" t="s">
        <v>57</v>
      </c>
      <c r="H8" s="2" t="str">
        <f t="shared" si="0"/>
        <v>RA</v>
      </c>
      <c r="I8" s="44">
        <f>C90</f>
        <v>15817.720861292308</v>
      </c>
    </row>
    <row r="9" spans="2:1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x14ac:dyDescent="0.25">
      <c r="B10" s="2" t="s">
        <v>23</v>
      </c>
      <c r="C10" s="42">
        <v>1</v>
      </c>
      <c r="D10" s="42">
        <f>800*C10</f>
        <v>800</v>
      </c>
      <c r="E10" s="46">
        <v>3.5</v>
      </c>
      <c r="F10" s="58">
        <f>D10*E10</f>
        <v>2800</v>
      </c>
      <c r="G10" s="54">
        <f t="shared" ref="G10:G13" si="2">(F10)*2.3%</f>
        <v>64.400000000000006</v>
      </c>
      <c r="H10" s="3"/>
      <c r="I10" s="3"/>
    </row>
    <row r="11" spans="2:11" x14ac:dyDescent="0.25">
      <c r="B11" s="2" t="s">
        <v>24</v>
      </c>
      <c r="C11" s="42">
        <v>4</v>
      </c>
      <c r="D11" s="42">
        <f>1000*C11</f>
        <v>4000</v>
      </c>
      <c r="E11" s="46">
        <v>3</v>
      </c>
      <c r="F11" s="58">
        <f>E11*D11</f>
        <v>12000</v>
      </c>
      <c r="G11" s="54">
        <f t="shared" si="2"/>
        <v>276</v>
      </c>
      <c r="H11" s="3"/>
      <c r="I11" s="3"/>
    </row>
    <row r="12" spans="2:11" x14ac:dyDescent="0.25">
      <c r="B12" s="2" t="s">
        <v>25</v>
      </c>
      <c r="C12" s="42">
        <f>I21/I22</f>
        <v>2.965753846153846</v>
      </c>
      <c r="D12" s="42">
        <f>F19</f>
        <v>10409.796</v>
      </c>
      <c r="E12" s="46">
        <v>0.8</v>
      </c>
      <c r="F12" s="58">
        <f t="shared" ref="F12:F14" si="3">E12*D12</f>
        <v>8327.8368000000009</v>
      </c>
      <c r="G12" s="54">
        <f t="shared" si="2"/>
        <v>191.54024640000003</v>
      </c>
      <c r="H12" s="3"/>
      <c r="I12" s="3"/>
    </row>
    <row r="13" spans="2:11" x14ac:dyDescent="0.25">
      <c r="B13" s="2" t="s">
        <v>88</v>
      </c>
      <c r="C13" s="42">
        <f>C12</f>
        <v>2.965753846153846</v>
      </c>
      <c r="D13" s="42">
        <f>E22</f>
        <v>0</v>
      </c>
      <c r="E13" s="46">
        <f>F22</f>
        <v>5</v>
      </c>
      <c r="F13" s="58">
        <f t="shared" si="3"/>
        <v>0</v>
      </c>
      <c r="G13" s="54">
        <f t="shared" si="2"/>
        <v>0</v>
      </c>
      <c r="H13" s="3"/>
      <c r="I13" s="3"/>
      <c r="J13" s="3"/>
    </row>
    <row r="14" spans="2:1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x14ac:dyDescent="0.25">
      <c r="B15" s="5" t="s">
        <v>4</v>
      </c>
      <c r="C15" s="42">
        <f>C10+C11+C12+C14</f>
        <v>8.9657538461538451</v>
      </c>
      <c r="F15" s="59">
        <f>SUM(F10:F14)</f>
        <v>25227.836800000001</v>
      </c>
      <c r="G15" s="46">
        <f>SUM(G10:G13)</f>
        <v>531.94024639999998</v>
      </c>
      <c r="I15" s="3"/>
      <c r="J15" s="3"/>
    </row>
    <row r="16" spans="2:11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2.965753846153846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49">
        <f>'Evolução reb'!E11</f>
        <v>3.85548</v>
      </c>
      <c r="D19" s="42">
        <f>'A1'!D19</f>
        <v>9</v>
      </c>
      <c r="E19" s="42">
        <f>C19*D19</f>
        <v>34.69932</v>
      </c>
      <c r="F19" s="43">
        <f>E19*300</f>
        <v>10409.796</v>
      </c>
      <c r="G19" s="46">
        <f>0.8</f>
        <v>0.8</v>
      </c>
      <c r="H19" s="52">
        <f>F19*G19</f>
        <v>8327.8368000000009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reb'!E10</f>
        <v>4.81935</v>
      </c>
    </row>
    <row r="22" spans="2:9" x14ac:dyDescent="0.25">
      <c r="B22" s="5" t="s">
        <v>79</v>
      </c>
      <c r="C22" s="49">
        <f>'Evolução reb'!E15</f>
        <v>0</v>
      </c>
      <c r="D22" s="42">
        <v>400</v>
      </c>
      <c r="E22" s="42">
        <f>C22*D22</f>
        <v>0</v>
      </c>
      <c r="F22" s="43">
        <v>5</v>
      </c>
      <c r="G22" s="46">
        <f>F22*E22</f>
        <v>0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1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3</v>
      </c>
      <c r="D29" s="48" t="s">
        <v>160</v>
      </c>
      <c r="E29" s="30">
        <v>30</v>
      </c>
      <c r="F29" s="72">
        <f>C29*E29</f>
        <v>90</v>
      </c>
      <c r="G29" s="3"/>
    </row>
    <row r="30" spans="2:9" x14ac:dyDescent="0.25">
      <c r="B30" s="19" t="s">
        <v>104</v>
      </c>
      <c r="C30" s="53">
        <f>C34</f>
        <v>100</v>
      </c>
      <c r="D30" s="48" t="s">
        <v>8</v>
      </c>
      <c r="E30" s="30">
        <f>23/60</f>
        <v>0.38333333333333336</v>
      </c>
      <c r="F30" s="72">
        <f>C30*E30</f>
        <v>38.333333333333336</v>
      </c>
      <c r="G30" s="3"/>
    </row>
    <row r="31" spans="2:9" x14ac:dyDescent="0.25">
      <c r="B31" s="19" t="s">
        <v>105</v>
      </c>
      <c r="C31" s="53">
        <f>15*E27</f>
        <v>15</v>
      </c>
      <c r="D31" s="48" t="s">
        <v>8</v>
      </c>
      <c r="E31" s="30">
        <f>10</f>
        <v>10</v>
      </c>
      <c r="F31" s="72">
        <f>C31*E31</f>
        <v>150</v>
      </c>
      <c r="G31" s="3"/>
    </row>
    <row r="32" spans="2:9" x14ac:dyDescent="0.25">
      <c r="B32" s="19" t="s">
        <v>6</v>
      </c>
      <c r="C32" s="70">
        <f>50*2*E27</f>
        <v>100</v>
      </c>
      <c r="D32" s="48" t="s">
        <v>8</v>
      </c>
      <c r="E32" s="16">
        <v>0.4</v>
      </c>
      <c r="F32" s="72">
        <f t="shared" ref="F32:F33" si="4">C32*E32</f>
        <v>40</v>
      </c>
      <c r="G32" s="3"/>
    </row>
    <row r="33" spans="2:7" x14ac:dyDescent="0.25">
      <c r="B33" s="19" t="s">
        <v>34</v>
      </c>
      <c r="C33" s="70">
        <f>100*E27</f>
        <v>100</v>
      </c>
      <c r="D33" s="42" t="s">
        <v>8</v>
      </c>
      <c r="E33" s="17">
        <v>0.61</v>
      </c>
      <c r="F33" s="72">
        <f t="shared" si="4"/>
        <v>61</v>
      </c>
      <c r="G33" s="3"/>
    </row>
    <row r="34" spans="2:7" x14ac:dyDescent="0.25">
      <c r="B34" s="19" t="s">
        <v>44</v>
      </c>
      <c r="C34" s="48">
        <f>D10/8</f>
        <v>100</v>
      </c>
      <c r="D34" s="48" t="s">
        <v>8</v>
      </c>
      <c r="E34" s="30">
        <v>1.2</v>
      </c>
      <c r="F34" s="72">
        <f>C34*E34</f>
        <v>120</v>
      </c>
      <c r="G34" s="3"/>
    </row>
    <row r="35" spans="2:7" x14ac:dyDescent="0.25">
      <c r="B35" s="19" t="s">
        <v>45</v>
      </c>
      <c r="C35" s="48">
        <f>12/2.5*E27</f>
        <v>4.8</v>
      </c>
      <c r="D35" s="48" t="s">
        <v>33</v>
      </c>
      <c r="E35" s="30">
        <v>97</v>
      </c>
      <c r="F35" s="72">
        <f>C35*E35</f>
        <v>465.59999999999997</v>
      </c>
      <c r="G35" s="3"/>
    </row>
    <row r="36" spans="2:7" x14ac:dyDescent="0.25">
      <c r="B36" s="19" t="s">
        <v>48</v>
      </c>
      <c r="C36" s="48">
        <f>D10*1.1</f>
        <v>880.00000000000011</v>
      </c>
      <c r="D36" s="48" t="s">
        <v>26</v>
      </c>
      <c r="E36" s="30">
        <v>1</v>
      </c>
      <c r="F36" s="72">
        <f>C36*E36</f>
        <v>880.00000000000011</v>
      </c>
      <c r="G36" s="3"/>
    </row>
    <row r="37" spans="2:7" x14ac:dyDescent="0.25">
      <c r="B37" s="29"/>
      <c r="C37" s="15"/>
      <c r="D37" s="15"/>
      <c r="E37" s="30" t="s">
        <v>4</v>
      </c>
      <c r="F37" s="73">
        <f>SUM(F29:F36)</f>
        <v>1844.9333333333334</v>
      </c>
      <c r="G37" s="3"/>
    </row>
    <row r="38" spans="2:7" x14ac:dyDescent="0.25">
      <c r="E38" s="23"/>
      <c r="G38" s="3"/>
    </row>
    <row r="39" spans="2:7" x14ac:dyDescent="0.25">
      <c r="B39" s="18" t="s">
        <v>91</v>
      </c>
      <c r="E39" s="23"/>
      <c r="G39" s="3"/>
    </row>
    <row r="40" spans="2:7" x14ac:dyDescent="0.25">
      <c r="B40" s="19" t="s">
        <v>27</v>
      </c>
      <c r="C40" s="13" t="s">
        <v>92</v>
      </c>
      <c r="D40" s="13" t="s">
        <v>39</v>
      </c>
      <c r="E40" s="24">
        <f>C12</f>
        <v>2.965753846153846</v>
      </c>
      <c r="F40" s="5"/>
      <c r="G40" s="3"/>
    </row>
    <row r="41" spans="2:7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7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266.91784615384614</v>
      </c>
      <c r="G42" s="3"/>
    </row>
    <row r="43" spans="2:7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142.35618461538462</v>
      </c>
      <c r="G43" s="3"/>
    </row>
    <row r="44" spans="2:7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400.37676923076918</v>
      </c>
      <c r="G44" s="3"/>
    </row>
    <row r="45" spans="2:7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180.91098461538459</v>
      </c>
      <c r="G45" s="3"/>
    </row>
    <row r="46" spans="2:7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177.94523076923076</v>
      </c>
      <c r="G46" s="3"/>
    </row>
    <row r="47" spans="2:7" x14ac:dyDescent="0.25">
      <c r="B47" s="18"/>
      <c r="C47" s="3"/>
      <c r="D47" s="3"/>
      <c r="E47" s="25"/>
      <c r="F47" s="64">
        <f>SUM(F42:F46)</f>
        <v>1168.5070153846152</v>
      </c>
      <c r="G47" s="3"/>
    </row>
    <row r="48" spans="2:7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2.965753846153846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355.89046153846152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177.94523076923076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400.37676923076918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180.91098461538459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177.94523076923076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1293.068676923077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4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480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480</v>
      </c>
    </row>
    <row r="62" spans="2:8" s="3" customFormat="1" x14ac:dyDescent="0.25">
      <c r="B62" s="18"/>
      <c r="E62" s="25"/>
      <c r="F62" s="64">
        <f>SUM(F60:F61)</f>
        <v>960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531.94024639999998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581.94024639999998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25227.836800000001</v>
      </c>
      <c r="D85" s="2" t="s">
        <v>17</v>
      </c>
      <c r="E85" s="9">
        <f>C89/C6</f>
        <v>8199.8305538461536</v>
      </c>
      <c r="I85" s="33"/>
    </row>
    <row r="86" spans="2:9" x14ac:dyDescent="0.25">
      <c r="B86" s="2" t="s">
        <v>21</v>
      </c>
      <c r="C86" s="9">
        <f>F37+F47+F56+F62</f>
        <v>5266.5090256410258</v>
      </c>
      <c r="D86" s="2" t="s">
        <v>18</v>
      </c>
      <c r="E86" s="9">
        <f>C89/C5</f>
        <v>1639.9661107692307</v>
      </c>
    </row>
    <row r="87" spans="2:9" x14ac:dyDescent="0.25">
      <c r="B87" s="2" t="s">
        <v>55</v>
      </c>
      <c r="C87" s="6">
        <f>C85-C86</f>
        <v>19961.327774358975</v>
      </c>
      <c r="D87" s="2" t="s">
        <v>19</v>
      </c>
      <c r="E87" s="9">
        <f>C90/C6</f>
        <v>7908.8604306461539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16399.661107692307</v>
      </c>
    </row>
    <row r="90" spans="2:9" x14ac:dyDescent="0.25">
      <c r="B90" s="5" t="s">
        <v>16</v>
      </c>
      <c r="C90" s="9">
        <f>C89-F82</f>
        <v>15817.720861292308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showGridLines="0" workbookViewId="0">
      <selection activeCell="C12" sqref="C12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15.140625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1" x14ac:dyDescent="0.25">
      <c r="B1" s="31" t="s">
        <v>154</v>
      </c>
    </row>
    <row r="2" spans="2:11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27264.881824000004</v>
      </c>
      <c r="J3" s="2" t="str">
        <f t="shared" si="1"/>
        <v>valor/Utf</v>
      </c>
      <c r="K3" s="50">
        <f t="shared" si="1"/>
        <v>8917.2940612307702</v>
      </c>
    </row>
    <row r="4" spans="2:11" ht="2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5868.6270348717953</v>
      </c>
      <c r="J4" s="2" t="str">
        <f t="shared" si="1"/>
        <v>VA/SAU</v>
      </c>
      <c r="K4" s="50">
        <f t="shared" si="1"/>
        <v>1783.4588122461541</v>
      </c>
    </row>
    <row r="5" spans="2:11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21396.254789128208</v>
      </c>
      <c r="J5" s="2" t="str">
        <f t="shared" si="1"/>
        <v>RA/UTf</v>
      </c>
      <c r="K5" s="50">
        <f t="shared" si="1"/>
        <v>8602.8979202547707</v>
      </c>
    </row>
    <row r="6" spans="2:11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1" x14ac:dyDescent="0.25">
      <c r="B7" s="38"/>
      <c r="H7" s="2" t="str">
        <f t="shared" si="0"/>
        <v>valor agregado</v>
      </c>
      <c r="I7" s="44">
        <f>C89</f>
        <v>17834.58812246154</v>
      </c>
    </row>
    <row r="8" spans="2:11" ht="18.75" x14ac:dyDescent="0.3">
      <c r="B8" s="74" t="s">
        <v>57</v>
      </c>
      <c r="H8" s="2" t="str">
        <f t="shared" si="0"/>
        <v>RA</v>
      </c>
      <c r="I8" s="44">
        <f>C90</f>
        <v>17205.795840509541</v>
      </c>
    </row>
    <row r="9" spans="2:1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x14ac:dyDescent="0.25">
      <c r="B10" s="2" t="s">
        <v>23</v>
      </c>
      <c r="C10" s="42">
        <v>1</v>
      </c>
      <c r="D10" s="42">
        <f>800*C10</f>
        <v>800</v>
      </c>
      <c r="E10" s="46">
        <v>3.5</v>
      </c>
      <c r="F10" s="58">
        <f>D10*E10</f>
        <v>2800</v>
      </c>
      <c r="G10" s="54">
        <f t="shared" ref="G10:G13" si="2">(F10)*2.3%</f>
        <v>64.400000000000006</v>
      </c>
      <c r="H10" s="3"/>
      <c r="I10" s="3"/>
    </row>
    <row r="11" spans="2:11" x14ac:dyDescent="0.25">
      <c r="B11" s="2" t="s">
        <v>24</v>
      </c>
      <c r="C11" s="42">
        <v>4</v>
      </c>
      <c r="D11" s="42">
        <f>1000*C11</f>
        <v>4000</v>
      </c>
      <c r="E11" s="46">
        <v>3</v>
      </c>
      <c r="F11" s="58">
        <f>E11*D11</f>
        <v>12000</v>
      </c>
      <c r="G11" s="54">
        <f t="shared" si="2"/>
        <v>276</v>
      </c>
      <c r="H11" s="3"/>
      <c r="I11" s="3"/>
    </row>
    <row r="12" spans="2:11" x14ac:dyDescent="0.25">
      <c r="B12" s="2" t="s">
        <v>25</v>
      </c>
      <c r="C12" s="42">
        <f>I21/I22</f>
        <v>3.6911972307692307</v>
      </c>
      <c r="D12" s="42">
        <f>F19</f>
        <v>12956.102280000001</v>
      </c>
      <c r="E12" s="46">
        <v>0.8</v>
      </c>
      <c r="F12" s="58">
        <f t="shared" ref="F12:F14" si="3">E12*D12</f>
        <v>10364.881824000002</v>
      </c>
      <c r="G12" s="54">
        <f t="shared" si="2"/>
        <v>238.39228195200005</v>
      </c>
      <c r="H12" s="3"/>
      <c r="I12" s="3"/>
    </row>
    <row r="13" spans="2:11" x14ac:dyDescent="0.25">
      <c r="B13" s="2" t="s">
        <v>88</v>
      </c>
      <c r="C13" s="42">
        <f>C12</f>
        <v>3.6911972307692307</v>
      </c>
      <c r="D13" s="42">
        <f>E22</f>
        <v>0</v>
      </c>
      <c r="E13" s="46">
        <f>F22</f>
        <v>5</v>
      </c>
      <c r="F13" s="58">
        <f t="shared" si="3"/>
        <v>0</v>
      </c>
      <c r="G13" s="54">
        <f t="shared" si="2"/>
        <v>0</v>
      </c>
      <c r="H13" s="3"/>
      <c r="I13" s="3"/>
      <c r="J13" s="3"/>
    </row>
    <row r="14" spans="2:1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x14ac:dyDescent="0.25">
      <c r="B15" s="5" t="s">
        <v>4</v>
      </c>
      <c r="C15" s="42">
        <f>C10+C11+C12+C14</f>
        <v>9.6911972307692302</v>
      </c>
      <c r="F15" s="59">
        <f>SUM(F10:F14)</f>
        <v>27264.881824000004</v>
      </c>
      <c r="G15" s="46">
        <f>SUM(G10:G13)</f>
        <v>578.79228195200005</v>
      </c>
      <c r="I15" s="3"/>
      <c r="J15" s="3"/>
    </row>
    <row r="16" spans="2:11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3.6911972307692307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49">
        <f>'Evolução reb'!F11</f>
        <v>4.7985563999999998</v>
      </c>
      <c r="D19" s="42">
        <f>'A1'!D19</f>
        <v>9</v>
      </c>
      <c r="E19" s="42">
        <f>C19*D19</f>
        <v>43.187007600000001</v>
      </c>
      <c r="F19" s="43">
        <f>E19*300</f>
        <v>12956.102280000001</v>
      </c>
      <c r="G19" s="46">
        <f>0.8</f>
        <v>0.8</v>
      </c>
      <c r="H19" s="52">
        <f>F19*G19</f>
        <v>10364.881824000002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reb'!F10</f>
        <v>5.9981954999999996</v>
      </c>
    </row>
    <row r="22" spans="2:9" x14ac:dyDescent="0.25">
      <c r="B22" s="5" t="s">
        <v>79</v>
      </c>
      <c r="C22" s="49">
        <f>'Evolução reb'!F15</f>
        <v>0</v>
      </c>
      <c r="D22" s="42">
        <v>400</v>
      </c>
      <c r="E22" s="42">
        <f>C22*D22</f>
        <v>0</v>
      </c>
      <c r="F22" s="43">
        <v>5</v>
      </c>
      <c r="G22" s="46">
        <f>F22*E22</f>
        <v>0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1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3</v>
      </c>
      <c r="D29" s="48" t="s">
        <v>160</v>
      </c>
      <c r="E29" s="30">
        <v>30</v>
      </c>
      <c r="F29" s="72">
        <f>C29*E29</f>
        <v>90</v>
      </c>
      <c r="G29" s="3"/>
    </row>
    <row r="30" spans="2:9" x14ac:dyDescent="0.25">
      <c r="B30" s="19" t="s">
        <v>104</v>
      </c>
      <c r="C30" s="53">
        <f>C34</f>
        <v>100</v>
      </c>
      <c r="D30" s="48" t="s">
        <v>8</v>
      </c>
      <c r="E30" s="30">
        <f>23/60</f>
        <v>0.38333333333333336</v>
      </c>
      <c r="F30" s="72">
        <f>C30*E30</f>
        <v>38.333333333333336</v>
      </c>
      <c r="G30" s="3"/>
    </row>
    <row r="31" spans="2:9" x14ac:dyDescent="0.25">
      <c r="B31" s="19" t="s">
        <v>105</v>
      </c>
      <c r="C31" s="53">
        <f>15*E27</f>
        <v>15</v>
      </c>
      <c r="D31" s="48" t="s">
        <v>8</v>
      </c>
      <c r="E31" s="30">
        <f>10</f>
        <v>10</v>
      </c>
      <c r="F31" s="72">
        <f>C31*E31</f>
        <v>150</v>
      </c>
      <c r="G31" s="3"/>
    </row>
    <row r="32" spans="2:9" x14ac:dyDescent="0.25">
      <c r="B32" s="19" t="s">
        <v>6</v>
      </c>
      <c r="C32" s="70">
        <f>50*2*E27</f>
        <v>100</v>
      </c>
      <c r="D32" s="48" t="s">
        <v>8</v>
      </c>
      <c r="E32" s="16">
        <v>0.4</v>
      </c>
      <c r="F32" s="72">
        <f t="shared" ref="F32:F33" si="4">C32*E32</f>
        <v>40</v>
      </c>
      <c r="G32" s="3"/>
    </row>
    <row r="33" spans="2:7" x14ac:dyDescent="0.25">
      <c r="B33" s="19" t="s">
        <v>34</v>
      </c>
      <c r="C33" s="70">
        <f>100*E27</f>
        <v>100</v>
      </c>
      <c r="D33" s="42" t="s">
        <v>8</v>
      </c>
      <c r="E33" s="17">
        <v>0.61</v>
      </c>
      <c r="F33" s="72">
        <f t="shared" si="4"/>
        <v>61</v>
      </c>
      <c r="G33" s="3"/>
    </row>
    <row r="34" spans="2:7" x14ac:dyDescent="0.25">
      <c r="B34" s="19" t="s">
        <v>44</v>
      </c>
      <c r="C34" s="48">
        <f>D10/8</f>
        <v>100</v>
      </c>
      <c r="D34" s="48" t="s">
        <v>8</v>
      </c>
      <c r="E34" s="30">
        <v>1.2</v>
      </c>
      <c r="F34" s="72">
        <f>C34*E34</f>
        <v>120</v>
      </c>
      <c r="G34" s="3"/>
    </row>
    <row r="35" spans="2:7" x14ac:dyDescent="0.25">
      <c r="B35" s="19" t="s">
        <v>45</v>
      </c>
      <c r="C35" s="48">
        <f>12/2.5*E27</f>
        <v>4.8</v>
      </c>
      <c r="D35" s="48" t="s">
        <v>33</v>
      </c>
      <c r="E35" s="30">
        <v>97</v>
      </c>
      <c r="F35" s="72">
        <f>C35*E35</f>
        <v>465.59999999999997</v>
      </c>
      <c r="G35" s="3"/>
    </row>
    <row r="36" spans="2:7" x14ac:dyDescent="0.25">
      <c r="B36" s="19" t="s">
        <v>48</v>
      </c>
      <c r="C36" s="48">
        <f>D10*1.1</f>
        <v>880.00000000000011</v>
      </c>
      <c r="D36" s="48" t="s">
        <v>26</v>
      </c>
      <c r="E36" s="30">
        <v>1</v>
      </c>
      <c r="F36" s="72">
        <f>C36*E36</f>
        <v>880.00000000000011</v>
      </c>
      <c r="G36" s="3"/>
    </row>
    <row r="37" spans="2:7" x14ac:dyDescent="0.25">
      <c r="B37" s="29"/>
      <c r="C37" s="15"/>
      <c r="D37" s="15"/>
      <c r="E37" s="30" t="s">
        <v>4</v>
      </c>
      <c r="F37" s="73">
        <f>SUM(F29:F36)</f>
        <v>1844.9333333333334</v>
      </c>
      <c r="G37" s="3"/>
    </row>
    <row r="38" spans="2:7" x14ac:dyDescent="0.25">
      <c r="E38" s="23"/>
      <c r="G38" s="3"/>
    </row>
    <row r="39" spans="2:7" x14ac:dyDescent="0.25">
      <c r="B39" s="18" t="s">
        <v>91</v>
      </c>
      <c r="E39" s="23"/>
      <c r="G39" s="3"/>
    </row>
    <row r="40" spans="2:7" x14ac:dyDescent="0.25">
      <c r="B40" s="19" t="s">
        <v>27</v>
      </c>
      <c r="C40" s="13" t="s">
        <v>92</v>
      </c>
      <c r="D40" s="13" t="s">
        <v>39</v>
      </c>
      <c r="E40" s="24">
        <f>C12</f>
        <v>3.6911972307692307</v>
      </c>
      <c r="F40" s="5"/>
      <c r="G40" s="3"/>
    </row>
    <row r="41" spans="2:7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7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332.20775076923076</v>
      </c>
      <c r="G42" s="3"/>
    </row>
    <row r="43" spans="2:7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177.17746707692308</v>
      </c>
      <c r="G43" s="3"/>
    </row>
    <row r="44" spans="2:7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498.31162615384613</v>
      </c>
      <c r="G44" s="3"/>
    </row>
    <row r="45" spans="2:7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225.16303107692306</v>
      </c>
      <c r="G45" s="3"/>
    </row>
    <row r="46" spans="2:7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221.47183384615383</v>
      </c>
      <c r="G46" s="3"/>
    </row>
    <row r="47" spans="2:7" x14ac:dyDescent="0.25">
      <c r="B47" s="18"/>
      <c r="C47" s="3"/>
      <c r="D47" s="3"/>
      <c r="E47" s="25"/>
      <c r="F47" s="64">
        <f>SUM(F42:F46)</f>
        <v>1454.331708923077</v>
      </c>
      <c r="G47" s="3"/>
    </row>
    <row r="48" spans="2:7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3.6911972307692307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442.94366769230766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221.47183384615383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498.31162615384613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225.16303107692306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221.47183384615383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1609.3619926153847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4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480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480</v>
      </c>
    </row>
    <row r="62" spans="2:8" s="3" customFormat="1" x14ac:dyDescent="0.25">
      <c r="B62" s="18"/>
      <c r="E62" s="25"/>
      <c r="F62" s="64">
        <f>SUM(F60:F61)</f>
        <v>960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578.79228195200005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628.79228195200005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27264.881824000004</v>
      </c>
      <c r="D85" s="2" t="s">
        <v>17</v>
      </c>
      <c r="E85" s="9">
        <f>C89/C6</f>
        <v>8917.2940612307702</v>
      </c>
      <c r="I85" s="33"/>
    </row>
    <row r="86" spans="2:9" x14ac:dyDescent="0.25">
      <c r="B86" s="2" t="s">
        <v>21</v>
      </c>
      <c r="C86" s="9">
        <f>F37+F47+F56+F62</f>
        <v>5868.6270348717953</v>
      </c>
      <c r="D86" s="2" t="s">
        <v>18</v>
      </c>
      <c r="E86" s="9">
        <f>C89/C5</f>
        <v>1783.4588122461541</v>
      </c>
    </row>
    <row r="87" spans="2:9" x14ac:dyDescent="0.25">
      <c r="B87" s="2" t="s">
        <v>55</v>
      </c>
      <c r="C87" s="6">
        <f>C85-C86</f>
        <v>21396.254789128208</v>
      </c>
      <c r="D87" s="2" t="s">
        <v>19</v>
      </c>
      <c r="E87" s="9">
        <f>C90/C6</f>
        <v>8602.8979202547707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17834.58812246154</v>
      </c>
    </row>
    <row r="90" spans="2:9" x14ac:dyDescent="0.25">
      <c r="B90" s="5" t="s">
        <v>16</v>
      </c>
      <c r="C90" s="9">
        <f>C89-F82</f>
        <v>17205.795840509541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0"/>
  <sheetViews>
    <sheetView showGridLines="0" workbookViewId="0">
      <selection activeCell="C12" sqref="C12"/>
    </sheetView>
  </sheetViews>
  <sheetFormatPr defaultRowHeight="15" x14ac:dyDescent="0.25"/>
  <cols>
    <col min="1" max="1" width="5.42578125" style="1" customWidth="1"/>
    <col min="2" max="2" width="21.85546875" style="1" customWidth="1"/>
    <col min="3" max="3" width="16.85546875" style="1" customWidth="1"/>
    <col min="4" max="4" width="19.5703125" style="1" customWidth="1"/>
    <col min="5" max="5" width="16.28515625" style="1" customWidth="1"/>
    <col min="6" max="6" width="14.140625" style="56" customWidth="1"/>
    <col min="7" max="7" width="13.28515625" style="1" customWidth="1"/>
    <col min="8" max="8" width="15.140625" style="1" customWidth="1"/>
    <col min="9" max="9" width="12" style="1" customWidth="1"/>
    <col min="10" max="10" width="10" style="1" customWidth="1"/>
    <col min="11" max="11" width="9.5703125" style="1" bestFit="1" customWidth="1"/>
    <col min="12" max="16384" width="9.140625" style="1"/>
  </cols>
  <sheetData>
    <row r="1" spans="2:11" x14ac:dyDescent="0.25">
      <c r="B1" s="31" t="s">
        <v>155</v>
      </c>
    </row>
    <row r="2" spans="2:11" ht="21" x14ac:dyDescent="0.35">
      <c r="B2" s="75" t="s">
        <v>93</v>
      </c>
      <c r="C2" s="37"/>
      <c r="D2" s="37"/>
      <c r="E2" s="37"/>
      <c r="F2" s="57"/>
      <c r="H2" s="1" t="str">
        <f t="shared" ref="H2:H8" si="0">B84</f>
        <v>Síntese dos resultados globais</v>
      </c>
    </row>
    <row r="3" spans="2:11" ht="21" x14ac:dyDescent="0.35">
      <c r="B3" s="40" t="s">
        <v>90</v>
      </c>
      <c r="C3" s="37"/>
      <c r="D3" s="37"/>
      <c r="E3" s="37"/>
      <c r="F3" s="57"/>
      <c r="H3" s="2" t="str">
        <f t="shared" si="0"/>
        <v>Produção Bruta</v>
      </c>
      <c r="I3" s="44">
        <f t="shared" ref="I3:K5" si="1">C85</f>
        <v>25352.986817600002</v>
      </c>
      <c r="J3" s="2" t="str">
        <f t="shared" si="1"/>
        <v>valor/Utf</v>
      </c>
      <c r="K3" s="50">
        <f t="shared" si="1"/>
        <v>8174.8578214410272</v>
      </c>
    </row>
    <row r="4" spans="2:11" ht="21" x14ac:dyDescent="0.35">
      <c r="B4" s="40" t="s">
        <v>159</v>
      </c>
      <c r="C4" s="37"/>
      <c r="D4" s="37"/>
      <c r="E4" s="37"/>
      <c r="F4" s="57"/>
      <c r="H4" s="2" t="str">
        <f t="shared" si="0"/>
        <v>Consumo intermediário</v>
      </c>
      <c r="I4" s="44">
        <f t="shared" si="1"/>
        <v>5441.6045080512813</v>
      </c>
      <c r="J4" s="2" t="str">
        <f t="shared" si="1"/>
        <v>VA/SAU</v>
      </c>
      <c r="K4" s="50">
        <f t="shared" si="1"/>
        <v>1634.9715642882054</v>
      </c>
    </row>
    <row r="5" spans="2:11" x14ac:dyDescent="0.25">
      <c r="B5" s="2" t="s">
        <v>22</v>
      </c>
      <c r="C5" s="42">
        <v>10</v>
      </c>
      <c r="H5" s="2" t="str">
        <f t="shared" si="0"/>
        <v>Valor agregado bruto</v>
      </c>
      <c r="I5" s="44">
        <f t="shared" si="1"/>
        <v>19911.382309548721</v>
      </c>
      <c r="J5" s="2" t="str">
        <f t="shared" si="1"/>
        <v>RA/UTf</v>
      </c>
      <c r="K5" s="50">
        <f t="shared" si="1"/>
        <v>7882.4484730386275</v>
      </c>
    </row>
    <row r="6" spans="2:11" x14ac:dyDescent="0.25">
      <c r="B6" s="2" t="s">
        <v>7</v>
      </c>
      <c r="C6" s="42">
        <v>2</v>
      </c>
      <c r="H6" s="2" t="str">
        <f t="shared" si="0"/>
        <v>Depreciações</v>
      </c>
      <c r="I6" s="44">
        <f>C88</f>
        <v>3561.6666666666665</v>
      </c>
    </row>
    <row r="7" spans="2:11" x14ac:dyDescent="0.25">
      <c r="B7" s="38"/>
      <c r="H7" s="2" t="str">
        <f t="shared" si="0"/>
        <v>valor agregado</v>
      </c>
      <c r="I7" s="44">
        <f>C89</f>
        <v>16349.715642882054</v>
      </c>
    </row>
    <row r="8" spans="2:11" ht="18.75" x14ac:dyDescent="0.3">
      <c r="B8" s="74" t="s">
        <v>57</v>
      </c>
      <c r="H8" s="2" t="str">
        <f t="shared" si="0"/>
        <v>RA</v>
      </c>
      <c r="I8" s="44">
        <f>C90</f>
        <v>15764.896946077255</v>
      </c>
    </row>
    <row r="9" spans="2:11" x14ac:dyDescent="0.25">
      <c r="B9" s="41" t="s">
        <v>1</v>
      </c>
      <c r="C9" s="42" t="s">
        <v>28</v>
      </c>
      <c r="D9" s="42" t="s">
        <v>89</v>
      </c>
      <c r="E9" s="42" t="s">
        <v>9</v>
      </c>
      <c r="F9" s="43" t="s">
        <v>10</v>
      </c>
      <c r="G9" s="43" t="s">
        <v>20</v>
      </c>
      <c r="H9" s="3"/>
      <c r="I9" s="3"/>
    </row>
    <row r="10" spans="2:11" x14ac:dyDescent="0.25">
      <c r="B10" s="2" t="s">
        <v>23</v>
      </c>
      <c r="C10" s="42">
        <v>0.5</v>
      </c>
      <c r="D10" s="42">
        <f>800*C10</f>
        <v>400</v>
      </c>
      <c r="E10" s="46">
        <v>3.5</v>
      </c>
      <c r="F10" s="58">
        <f>D10*E10</f>
        <v>1400</v>
      </c>
      <c r="G10" s="54">
        <f t="shared" ref="G10:G13" si="2">(F10)*2.3%</f>
        <v>32.200000000000003</v>
      </c>
      <c r="H10" s="3"/>
      <c r="I10" s="3"/>
    </row>
    <row r="11" spans="2:11" x14ac:dyDescent="0.25">
      <c r="B11" s="2" t="s">
        <v>24</v>
      </c>
      <c r="C11" s="42">
        <v>3</v>
      </c>
      <c r="D11" s="42">
        <f>1000*C11</f>
        <v>3000</v>
      </c>
      <c r="E11" s="46">
        <v>3</v>
      </c>
      <c r="F11" s="58">
        <f>E11*D11</f>
        <v>9000</v>
      </c>
      <c r="G11" s="54">
        <f t="shared" si="2"/>
        <v>207</v>
      </c>
      <c r="H11" s="3"/>
      <c r="I11" s="3"/>
    </row>
    <row r="12" spans="2:11" x14ac:dyDescent="0.25">
      <c r="B12" s="2" t="s">
        <v>25</v>
      </c>
      <c r="C12" s="42">
        <f>I21/I22</f>
        <v>4.5772745076923069</v>
      </c>
      <c r="D12" s="42">
        <f>F19</f>
        <v>16066.233521999999</v>
      </c>
      <c r="E12" s="46">
        <v>0.8</v>
      </c>
      <c r="F12" s="58">
        <f t="shared" ref="F12:F14" si="3">E12*D12</f>
        <v>12852.9868176</v>
      </c>
      <c r="G12" s="54">
        <f t="shared" si="2"/>
        <v>295.61869680479998</v>
      </c>
      <c r="H12" s="3"/>
      <c r="I12" s="3"/>
    </row>
    <row r="13" spans="2:11" x14ac:dyDescent="0.25">
      <c r="B13" s="2" t="s">
        <v>88</v>
      </c>
      <c r="C13" s="42">
        <f>C12</f>
        <v>4.5772745076923069</v>
      </c>
      <c r="D13" s="42">
        <f>E22</f>
        <v>0</v>
      </c>
      <c r="E13" s="46">
        <f>F22</f>
        <v>5</v>
      </c>
      <c r="F13" s="58">
        <f t="shared" si="3"/>
        <v>0</v>
      </c>
      <c r="G13" s="54">
        <f t="shared" si="2"/>
        <v>0</v>
      </c>
      <c r="H13" s="3"/>
      <c r="I13" s="3"/>
      <c r="J13" s="3"/>
    </row>
    <row r="14" spans="2:11" x14ac:dyDescent="0.25">
      <c r="B14" s="2" t="s">
        <v>0</v>
      </c>
      <c r="C14" s="42">
        <v>1</v>
      </c>
      <c r="D14" s="42">
        <v>700</v>
      </c>
      <c r="E14" s="46">
        <v>3</v>
      </c>
      <c r="F14" s="58">
        <f t="shared" si="3"/>
        <v>2100</v>
      </c>
      <c r="G14" s="54"/>
      <c r="H14" s="10"/>
      <c r="I14" s="3"/>
    </row>
    <row r="15" spans="2:11" x14ac:dyDescent="0.25">
      <c r="B15" s="5" t="s">
        <v>4</v>
      </c>
      <c r="C15" s="42">
        <f>C10+C11+C12+C14</f>
        <v>9.0772745076923069</v>
      </c>
      <c r="F15" s="59">
        <f>SUM(F10:F14)</f>
        <v>25352.986817600002</v>
      </c>
      <c r="G15" s="46">
        <f>SUM(G10:G13)</f>
        <v>534.81869680479997</v>
      </c>
      <c r="I15" s="3"/>
      <c r="J15" s="3"/>
    </row>
    <row r="16" spans="2:11" x14ac:dyDescent="0.25">
      <c r="B16" s="4"/>
      <c r="G16" s="51"/>
      <c r="H16" s="10"/>
    </row>
    <row r="17" spans="2:9" x14ac:dyDescent="0.25">
      <c r="B17" s="4" t="s">
        <v>73</v>
      </c>
      <c r="D17" s="1" t="s">
        <v>86</v>
      </c>
      <c r="E17" s="1">
        <f>C12</f>
        <v>4.5772745076923069</v>
      </c>
      <c r="F17" s="56" t="s">
        <v>87</v>
      </c>
      <c r="G17" s="51"/>
      <c r="H17" s="10"/>
    </row>
    <row r="18" spans="2:9" x14ac:dyDescent="0.25">
      <c r="B18" s="5"/>
      <c r="C18" s="42" t="s">
        <v>85</v>
      </c>
      <c r="D18" s="42" t="s">
        <v>74</v>
      </c>
      <c r="E18" s="42" t="s">
        <v>75</v>
      </c>
      <c r="F18" s="43" t="s">
        <v>76</v>
      </c>
      <c r="G18" s="42" t="s">
        <v>77</v>
      </c>
      <c r="H18" s="46" t="s">
        <v>78</v>
      </c>
    </row>
    <row r="19" spans="2:9" x14ac:dyDescent="0.25">
      <c r="B19" s="5" t="s">
        <v>25</v>
      </c>
      <c r="C19" s="49">
        <f>'Evolução reb'!G11</f>
        <v>5.9504568599999992</v>
      </c>
      <c r="D19" s="42">
        <f>'A1'!D19</f>
        <v>9</v>
      </c>
      <c r="E19" s="42">
        <f>C19*D19</f>
        <v>53.554111739999996</v>
      </c>
      <c r="F19" s="43">
        <f>E19*300</f>
        <v>16066.233521999999</v>
      </c>
      <c r="G19" s="46">
        <f>0.8</f>
        <v>0.8</v>
      </c>
      <c r="H19" s="52">
        <f>F19*G19</f>
        <v>12852.9868176</v>
      </c>
    </row>
    <row r="20" spans="2:9" x14ac:dyDescent="0.25">
      <c r="B20" s="4"/>
      <c r="G20" s="51"/>
      <c r="H20" s="10"/>
    </row>
    <row r="21" spans="2:9" x14ac:dyDescent="0.25">
      <c r="B21" s="5" t="s">
        <v>80</v>
      </c>
      <c r="C21" s="42" t="s">
        <v>81</v>
      </c>
      <c r="D21" s="42" t="s">
        <v>82</v>
      </c>
      <c r="E21" s="42" t="s">
        <v>83</v>
      </c>
      <c r="F21" s="43" t="s">
        <v>77</v>
      </c>
      <c r="G21" s="46" t="s">
        <v>84</v>
      </c>
      <c r="H21" s="9" t="s">
        <v>138</v>
      </c>
      <c r="I21" s="118">
        <f>'Evolução reb'!G10</f>
        <v>7.438071074999999</v>
      </c>
    </row>
    <row r="22" spans="2:9" x14ac:dyDescent="0.25">
      <c r="B22" s="5" t="s">
        <v>79</v>
      </c>
      <c r="C22" s="49">
        <f>'Evolução reb'!G15</f>
        <v>0</v>
      </c>
      <c r="D22" s="42">
        <v>400</v>
      </c>
      <c r="E22" s="42">
        <f>C22*D22</f>
        <v>0</v>
      </c>
      <c r="F22" s="43">
        <v>5</v>
      </c>
      <c r="G22" s="46">
        <f>F22*E22</f>
        <v>0</v>
      </c>
      <c r="H22" s="2" t="s">
        <v>320</v>
      </c>
      <c r="I22" s="270">
        <f>'Sit chegada'!I22</f>
        <v>1.625</v>
      </c>
    </row>
    <row r="23" spans="2:9" x14ac:dyDescent="0.25">
      <c r="B23" s="4"/>
      <c r="G23" s="7"/>
    </row>
    <row r="24" spans="2:9" ht="21" x14ac:dyDescent="0.35">
      <c r="B24" s="39" t="s">
        <v>2</v>
      </c>
    </row>
    <row r="25" spans="2:9" x14ac:dyDescent="0.25">
      <c r="B25" s="18"/>
      <c r="C25" s="3"/>
      <c r="D25" s="21"/>
      <c r="E25" s="22"/>
      <c r="F25" s="60"/>
      <c r="G25" s="3"/>
    </row>
    <row r="26" spans="2:9" x14ac:dyDescent="0.25">
      <c r="B26" s="18" t="s">
        <v>36</v>
      </c>
      <c r="C26" s="31"/>
      <c r="D26" s="27"/>
      <c r="E26" s="28"/>
      <c r="F26" s="61"/>
      <c r="G26" s="3"/>
    </row>
    <row r="27" spans="2:9" x14ac:dyDescent="0.25">
      <c r="B27" s="19" t="s">
        <v>27</v>
      </c>
      <c r="C27" s="14" t="s">
        <v>37</v>
      </c>
      <c r="D27" s="13" t="s">
        <v>43</v>
      </c>
      <c r="E27" s="20">
        <f>C10</f>
        <v>0.5</v>
      </c>
      <c r="F27" s="19" t="s">
        <v>87</v>
      </c>
      <c r="G27" s="3"/>
    </row>
    <row r="28" spans="2:9" x14ac:dyDescent="0.25">
      <c r="B28" s="19" t="s">
        <v>29</v>
      </c>
      <c r="C28" s="14" t="s">
        <v>3</v>
      </c>
      <c r="D28" s="14" t="s">
        <v>30</v>
      </c>
      <c r="E28" s="20" t="s">
        <v>9</v>
      </c>
      <c r="F28" s="71" t="s">
        <v>4</v>
      </c>
      <c r="G28" s="3"/>
    </row>
    <row r="29" spans="2:9" x14ac:dyDescent="0.25">
      <c r="B29" s="19" t="s">
        <v>99</v>
      </c>
      <c r="C29" s="68">
        <f>3*E27</f>
        <v>1.5</v>
      </c>
      <c r="D29" s="48" t="s">
        <v>160</v>
      </c>
      <c r="E29" s="30">
        <v>30</v>
      </c>
      <c r="F29" s="72">
        <f>C29*E29</f>
        <v>45</v>
      </c>
      <c r="G29" s="3"/>
    </row>
    <row r="30" spans="2:9" x14ac:dyDescent="0.25">
      <c r="B30" s="19" t="s">
        <v>104</v>
      </c>
      <c r="C30" s="53">
        <f>C34</f>
        <v>50</v>
      </c>
      <c r="D30" s="48" t="s">
        <v>8</v>
      </c>
      <c r="E30" s="30">
        <f>23/60</f>
        <v>0.38333333333333336</v>
      </c>
      <c r="F30" s="72">
        <f>C30*E30</f>
        <v>19.166666666666668</v>
      </c>
      <c r="G30" s="3"/>
    </row>
    <row r="31" spans="2:9" x14ac:dyDescent="0.25">
      <c r="B31" s="19" t="s">
        <v>105</v>
      </c>
      <c r="C31" s="53">
        <f>15*E27</f>
        <v>7.5</v>
      </c>
      <c r="D31" s="48" t="s">
        <v>8</v>
      </c>
      <c r="E31" s="30">
        <f>10</f>
        <v>10</v>
      </c>
      <c r="F31" s="72">
        <f>C31*E31</f>
        <v>75</v>
      </c>
      <c r="G31" s="3"/>
    </row>
    <row r="32" spans="2:9" x14ac:dyDescent="0.25">
      <c r="B32" s="19" t="s">
        <v>6</v>
      </c>
      <c r="C32" s="70">
        <f>50*2*E27</f>
        <v>50</v>
      </c>
      <c r="D32" s="48" t="s">
        <v>8</v>
      </c>
      <c r="E32" s="16">
        <v>0.4</v>
      </c>
      <c r="F32" s="72">
        <f t="shared" ref="F32:F33" si="4">C32*E32</f>
        <v>20</v>
      </c>
      <c r="G32" s="3"/>
    </row>
    <row r="33" spans="2:7" x14ac:dyDescent="0.25">
      <c r="B33" s="19" t="s">
        <v>34</v>
      </c>
      <c r="C33" s="70">
        <f>100*E27</f>
        <v>50</v>
      </c>
      <c r="D33" s="42" t="s">
        <v>8</v>
      </c>
      <c r="E33" s="17">
        <v>0.61</v>
      </c>
      <c r="F33" s="72">
        <f t="shared" si="4"/>
        <v>30.5</v>
      </c>
      <c r="G33" s="3"/>
    </row>
    <row r="34" spans="2:7" x14ac:dyDescent="0.25">
      <c r="B34" s="19" t="s">
        <v>44</v>
      </c>
      <c r="C34" s="48">
        <f>D10/8</f>
        <v>50</v>
      </c>
      <c r="D34" s="48" t="s">
        <v>8</v>
      </c>
      <c r="E34" s="30">
        <v>1.2</v>
      </c>
      <c r="F34" s="72">
        <f>C34*E34</f>
        <v>60</v>
      </c>
      <c r="G34" s="3"/>
    </row>
    <row r="35" spans="2:7" x14ac:dyDescent="0.25">
      <c r="B35" s="19" t="s">
        <v>45</v>
      </c>
      <c r="C35" s="48">
        <f>12/2.5*E27</f>
        <v>2.4</v>
      </c>
      <c r="D35" s="48" t="s">
        <v>33</v>
      </c>
      <c r="E35" s="30">
        <v>97</v>
      </c>
      <c r="F35" s="72">
        <f>C35*E35</f>
        <v>232.79999999999998</v>
      </c>
      <c r="G35" s="3"/>
    </row>
    <row r="36" spans="2:7" x14ac:dyDescent="0.25">
      <c r="B36" s="19" t="s">
        <v>48</v>
      </c>
      <c r="C36" s="48">
        <f>D10*1.1</f>
        <v>440.00000000000006</v>
      </c>
      <c r="D36" s="48" t="s">
        <v>26</v>
      </c>
      <c r="E36" s="30">
        <v>1</v>
      </c>
      <c r="F36" s="72">
        <f>C36*E36</f>
        <v>440.00000000000006</v>
      </c>
      <c r="G36" s="3"/>
    </row>
    <row r="37" spans="2:7" x14ac:dyDescent="0.25">
      <c r="B37" s="29"/>
      <c r="C37" s="15"/>
      <c r="D37" s="15"/>
      <c r="E37" s="30" t="s">
        <v>4</v>
      </c>
      <c r="F37" s="73">
        <f>SUM(F29:F36)</f>
        <v>922.4666666666667</v>
      </c>
      <c r="G37" s="3"/>
    </row>
    <row r="38" spans="2:7" x14ac:dyDescent="0.25">
      <c r="E38" s="23"/>
      <c r="G38" s="3"/>
    </row>
    <row r="39" spans="2:7" x14ac:dyDescent="0.25">
      <c r="B39" s="18" t="s">
        <v>91</v>
      </c>
      <c r="E39" s="23"/>
      <c r="G39" s="3"/>
    </row>
    <row r="40" spans="2:7" x14ac:dyDescent="0.25">
      <c r="B40" s="19" t="s">
        <v>27</v>
      </c>
      <c r="C40" s="13" t="s">
        <v>92</v>
      </c>
      <c r="D40" s="13" t="s">
        <v>39</v>
      </c>
      <c r="E40" s="24">
        <f>C12</f>
        <v>4.5772745076923069</v>
      </c>
      <c r="F40" s="5"/>
      <c r="G40" s="3"/>
    </row>
    <row r="41" spans="2:7" x14ac:dyDescent="0.25">
      <c r="B41" s="19" t="s">
        <v>29</v>
      </c>
      <c r="C41" s="13" t="s">
        <v>3</v>
      </c>
      <c r="D41" s="13" t="s">
        <v>30</v>
      </c>
      <c r="E41" s="20" t="s">
        <v>9</v>
      </c>
      <c r="F41" s="19" t="s">
        <v>4</v>
      </c>
      <c r="G41" s="3"/>
    </row>
    <row r="42" spans="2:7" x14ac:dyDescent="0.25">
      <c r="B42" s="19" t="s">
        <v>99</v>
      </c>
      <c r="C42" s="68">
        <v>3</v>
      </c>
      <c r="D42" s="15" t="s">
        <v>100</v>
      </c>
      <c r="E42" s="30">
        <v>30</v>
      </c>
      <c r="F42" s="62">
        <f>C42*E42*$E$40</f>
        <v>411.95470569230764</v>
      </c>
      <c r="G42" s="3"/>
    </row>
    <row r="43" spans="2:7" x14ac:dyDescent="0.25">
      <c r="B43" s="19" t="s">
        <v>32</v>
      </c>
      <c r="C43" s="69">
        <v>80</v>
      </c>
      <c r="D43" s="15" t="s">
        <v>40</v>
      </c>
      <c r="E43" s="17">
        <v>0.6</v>
      </c>
      <c r="F43" s="62">
        <f>C43*E43*$E$40</f>
        <v>219.70917636923073</v>
      </c>
      <c r="G43" s="3"/>
    </row>
    <row r="44" spans="2:7" x14ac:dyDescent="0.25">
      <c r="B44" s="19" t="s">
        <v>6</v>
      </c>
      <c r="C44" s="70">
        <v>3</v>
      </c>
      <c r="D44" s="15" t="s">
        <v>35</v>
      </c>
      <c r="E44" s="16">
        <v>45</v>
      </c>
      <c r="F44" s="63">
        <f>C44*E44*E40</f>
        <v>617.93205853846143</v>
      </c>
      <c r="G44" s="3"/>
    </row>
    <row r="45" spans="2:7" x14ac:dyDescent="0.25">
      <c r="B45" s="19" t="s">
        <v>6</v>
      </c>
      <c r="C45" s="70">
        <v>100</v>
      </c>
      <c r="D45" s="2" t="s">
        <v>41</v>
      </c>
      <c r="E45" s="17">
        <v>0.61</v>
      </c>
      <c r="F45" s="62">
        <f>C45*E45*$E$40</f>
        <v>279.21374496923073</v>
      </c>
      <c r="G45" s="3"/>
    </row>
    <row r="46" spans="2:7" x14ac:dyDescent="0.25">
      <c r="B46" s="19" t="s">
        <v>34</v>
      </c>
      <c r="C46" s="70">
        <v>1</v>
      </c>
      <c r="D46" s="2" t="s">
        <v>42</v>
      </c>
      <c r="E46" s="17">
        <v>60</v>
      </c>
      <c r="F46" s="62">
        <f>C46*E46*$E$40</f>
        <v>274.63647046153841</v>
      </c>
      <c r="G46" s="3"/>
    </row>
    <row r="47" spans="2:7" x14ac:dyDescent="0.25">
      <c r="B47" s="18"/>
      <c r="C47" s="3"/>
      <c r="D47" s="3"/>
      <c r="E47" s="25"/>
      <c r="F47" s="64">
        <f>SUM(F42:F46)</f>
        <v>1803.4461560307689</v>
      </c>
      <c r="G47" s="3"/>
    </row>
    <row r="48" spans="2:7" x14ac:dyDescent="0.25">
      <c r="B48" s="18"/>
      <c r="C48" s="3"/>
      <c r="D48" s="3"/>
      <c r="E48" s="25"/>
      <c r="F48" s="26"/>
      <c r="G48" s="3"/>
    </row>
    <row r="49" spans="2:8" x14ac:dyDescent="0.25">
      <c r="B49" s="19" t="s">
        <v>27</v>
      </c>
      <c r="C49" s="13" t="s">
        <v>94</v>
      </c>
      <c r="D49" s="13" t="s">
        <v>39</v>
      </c>
      <c r="E49" s="24">
        <f>E40</f>
        <v>4.5772745076923069</v>
      </c>
      <c r="F49" s="5"/>
      <c r="G49" s="3"/>
    </row>
    <row r="50" spans="2:8" x14ac:dyDescent="0.25">
      <c r="B50" s="19" t="s">
        <v>29</v>
      </c>
      <c r="C50" s="14" t="s">
        <v>3</v>
      </c>
      <c r="D50" s="13" t="s">
        <v>30</v>
      </c>
      <c r="E50" s="20" t="s">
        <v>9</v>
      </c>
      <c r="F50" s="19" t="s">
        <v>4</v>
      </c>
      <c r="G50" s="3"/>
    </row>
    <row r="51" spans="2:8" x14ac:dyDescent="0.25">
      <c r="B51" s="19" t="s">
        <v>99</v>
      </c>
      <c r="C51" s="55">
        <v>4</v>
      </c>
      <c r="D51" s="15" t="s">
        <v>100</v>
      </c>
      <c r="E51" s="30">
        <v>30</v>
      </c>
      <c r="F51" s="62">
        <f>C51*E51*$E$49</f>
        <v>549.27294092307682</v>
      </c>
      <c r="G51" s="3"/>
    </row>
    <row r="52" spans="2:8" x14ac:dyDescent="0.25">
      <c r="B52" s="19" t="s">
        <v>32</v>
      </c>
      <c r="C52" s="49">
        <v>30</v>
      </c>
      <c r="D52" s="15" t="s">
        <v>40</v>
      </c>
      <c r="E52" s="17">
        <v>2</v>
      </c>
      <c r="F52" s="62">
        <f>C52*E52*$E$40</f>
        <v>274.63647046153841</v>
      </c>
      <c r="G52" s="3"/>
    </row>
    <row r="53" spans="2:8" x14ac:dyDescent="0.25">
      <c r="B53" s="19" t="s">
        <v>6</v>
      </c>
      <c r="C53" s="42">
        <v>3</v>
      </c>
      <c r="D53" s="15" t="s">
        <v>35</v>
      </c>
      <c r="E53" s="16">
        <v>45</v>
      </c>
      <c r="F53" s="63">
        <f>C53*E53*E49</f>
        <v>617.93205853846143</v>
      </c>
      <c r="G53" s="3"/>
    </row>
    <row r="54" spans="2:8" x14ac:dyDescent="0.25">
      <c r="B54" s="19" t="s">
        <v>6</v>
      </c>
      <c r="C54" s="42">
        <v>100</v>
      </c>
      <c r="D54" s="2" t="s">
        <v>41</v>
      </c>
      <c r="E54" s="17">
        <v>0.61</v>
      </c>
      <c r="F54" s="62">
        <f>C54*E54*$E$40</f>
        <v>279.21374496923073</v>
      </c>
      <c r="G54" s="3"/>
      <c r="H54" s="3"/>
    </row>
    <row r="55" spans="2:8" x14ac:dyDescent="0.25">
      <c r="B55" s="19" t="s">
        <v>34</v>
      </c>
      <c r="C55" s="42">
        <v>1</v>
      </c>
      <c r="D55" s="2" t="s">
        <v>42</v>
      </c>
      <c r="E55" s="17">
        <v>60</v>
      </c>
      <c r="F55" s="62">
        <f>C55*E55*$E$40</f>
        <v>274.63647046153841</v>
      </c>
      <c r="G55" s="3"/>
      <c r="H55" s="3"/>
    </row>
    <row r="56" spans="2:8" x14ac:dyDescent="0.25">
      <c r="B56" s="18"/>
      <c r="C56" s="3"/>
      <c r="D56" s="3"/>
      <c r="E56" s="25"/>
      <c r="F56" s="64">
        <f>SUM(F51:F55)</f>
        <v>1995.6916853538457</v>
      </c>
      <c r="G56" s="3"/>
      <c r="H56" s="3"/>
    </row>
    <row r="57" spans="2:8" s="3" customFormat="1" x14ac:dyDescent="0.25">
      <c r="B57" s="18" t="s">
        <v>46</v>
      </c>
      <c r="C57" s="1"/>
      <c r="D57" s="1"/>
      <c r="E57" s="23"/>
      <c r="F57" s="56"/>
    </row>
    <row r="58" spans="2:8" s="3" customFormat="1" x14ac:dyDescent="0.25">
      <c r="B58" s="19" t="s">
        <v>27</v>
      </c>
      <c r="C58" s="13" t="s">
        <v>38</v>
      </c>
      <c r="D58" s="13" t="s">
        <v>39</v>
      </c>
      <c r="E58" s="20">
        <f>C11</f>
        <v>3</v>
      </c>
      <c r="F58" s="5"/>
    </row>
    <row r="59" spans="2:8" s="3" customFormat="1" x14ac:dyDescent="0.25">
      <c r="B59" s="19" t="s">
        <v>29</v>
      </c>
      <c r="C59" s="13" t="s">
        <v>3</v>
      </c>
      <c r="D59" s="13" t="s">
        <v>30</v>
      </c>
      <c r="E59" s="20" t="s">
        <v>9</v>
      </c>
      <c r="F59" s="19" t="s">
        <v>4</v>
      </c>
    </row>
    <row r="60" spans="2:8" s="3" customFormat="1" x14ac:dyDescent="0.25">
      <c r="B60" s="19" t="s">
        <v>99</v>
      </c>
      <c r="C60" s="55">
        <v>4</v>
      </c>
      <c r="D60" s="15" t="s">
        <v>100</v>
      </c>
      <c r="E60" s="30">
        <v>30</v>
      </c>
      <c r="F60" s="62">
        <f>C60*E60*$E$58</f>
        <v>360</v>
      </c>
    </row>
    <row r="61" spans="2:8" s="3" customFormat="1" x14ac:dyDescent="0.25">
      <c r="B61" s="19" t="s">
        <v>6</v>
      </c>
      <c r="C61" s="42">
        <v>2</v>
      </c>
      <c r="D61" s="2" t="s">
        <v>31</v>
      </c>
      <c r="E61" s="17">
        <v>60</v>
      </c>
      <c r="F61" s="62">
        <f>C61*E61*$E$58</f>
        <v>360</v>
      </c>
    </row>
    <row r="62" spans="2:8" s="3" customFormat="1" x14ac:dyDescent="0.25">
      <c r="B62" s="18"/>
      <c r="E62" s="25"/>
      <c r="F62" s="64">
        <f>SUM(F60:F61)</f>
        <v>720</v>
      </c>
      <c r="G62" s="1"/>
      <c r="H62" s="1"/>
    </row>
    <row r="63" spans="2:8" x14ac:dyDescent="0.25">
      <c r="B63" s="18"/>
      <c r="C63" s="3"/>
      <c r="D63" s="3"/>
      <c r="E63" s="25"/>
      <c r="F63" s="26"/>
    </row>
    <row r="64" spans="2:8" x14ac:dyDescent="0.25">
      <c r="B64" s="19" t="s">
        <v>47</v>
      </c>
      <c r="C64" s="5">
        <f>200*C14</f>
        <v>200</v>
      </c>
      <c r="D64" s="3"/>
      <c r="E64" s="25"/>
      <c r="F64" s="26"/>
    </row>
    <row r="65" spans="2:10" x14ac:dyDescent="0.25">
      <c r="B65" s="18"/>
      <c r="C65" s="3"/>
      <c r="D65" s="3"/>
      <c r="E65" s="25"/>
      <c r="F65" s="26"/>
    </row>
    <row r="66" spans="2:10" x14ac:dyDescent="0.25">
      <c r="B66" s="18"/>
      <c r="C66" s="3"/>
      <c r="D66" s="3"/>
      <c r="E66" s="25"/>
      <c r="F66" s="26"/>
    </row>
    <row r="67" spans="2:10" x14ac:dyDescent="0.25">
      <c r="B67" s="1" t="s">
        <v>5</v>
      </c>
    </row>
    <row r="68" spans="2:10" x14ac:dyDescent="0.25">
      <c r="B68" s="2"/>
      <c r="C68" s="42" t="s">
        <v>11</v>
      </c>
      <c r="D68" s="42" t="s">
        <v>12</v>
      </c>
      <c r="E68" s="42" t="s">
        <v>13</v>
      </c>
      <c r="F68" s="43" t="s">
        <v>14</v>
      </c>
      <c r="G68" s="8"/>
    </row>
    <row r="69" spans="2:10" x14ac:dyDescent="0.25">
      <c r="B69" s="2" t="s">
        <v>96</v>
      </c>
      <c r="C69" s="76">
        <v>3500</v>
      </c>
      <c r="D69" s="76">
        <f>C69*20%</f>
        <v>700</v>
      </c>
      <c r="E69" s="44">
        <v>15</v>
      </c>
      <c r="F69" s="77">
        <f>(C69-D69)/E69</f>
        <v>186.66666666666666</v>
      </c>
      <c r="G69" s="11"/>
    </row>
    <row r="70" spans="2:10" x14ac:dyDescent="0.25">
      <c r="B70" s="2" t="s">
        <v>97</v>
      </c>
      <c r="C70" s="76">
        <v>15000</v>
      </c>
      <c r="D70" s="76">
        <f>C70*10%</f>
        <v>1500</v>
      </c>
      <c r="E70" s="44">
        <v>20</v>
      </c>
      <c r="F70" s="77">
        <f>(C70-D70)/E70</f>
        <v>675</v>
      </c>
    </row>
    <row r="71" spans="2:10" x14ac:dyDescent="0.25">
      <c r="B71" s="2" t="s">
        <v>98</v>
      </c>
      <c r="C71" s="76">
        <v>30000</v>
      </c>
      <c r="D71" s="76">
        <f t="shared" ref="D71:D74" si="5">C71*10%</f>
        <v>3000</v>
      </c>
      <c r="E71" s="44">
        <v>20</v>
      </c>
      <c r="F71" s="77">
        <f t="shared" ref="F71:F73" si="6">(C71-D71)/E71</f>
        <v>1350</v>
      </c>
    </row>
    <row r="72" spans="2:10" x14ac:dyDescent="0.25">
      <c r="B72" s="2" t="s">
        <v>101</v>
      </c>
      <c r="C72" s="76">
        <v>15000</v>
      </c>
      <c r="D72" s="76">
        <f t="shared" si="5"/>
        <v>1500</v>
      </c>
      <c r="E72" s="44">
        <v>15</v>
      </c>
      <c r="F72" s="77">
        <f t="shared" si="6"/>
        <v>900</v>
      </c>
    </row>
    <row r="73" spans="2:10" x14ac:dyDescent="0.25">
      <c r="B73" s="2" t="s">
        <v>102</v>
      </c>
      <c r="C73" s="76">
        <v>6000</v>
      </c>
      <c r="D73" s="76">
        <f t="shared" si="5"/>
        <v>600</v>
      </c>
      <c r="E73" s="44">
        <v>20</v>
      </c>
      <c r="F73" s="77">
        <f t="shared" si="6"/>
        <v>270</v>
      </c>
    </row>
    <row r="74" spans="2:10" x14ac:dyDescent="0.25">
      <c r="B74" s="2" t="s">
        <v>103</v>
      </c>
      <c r="C74" s="76">
        <v>3000</v>
      </c>
      <c r="D74" s="76">
        <f t="shared" si="5"/>
        <v>300</v>
      </c>
      <c r="E74" s="45">
        <v>15</v>
      </c>
      <c r="F74" s="77">
        <f>(C74-D74)/E74</f>
        <v>180</v>
      </c>
      <c r="G74" s="11"/>
    </row>
    <row r="75" spans="2:10" x14ac:dyDescent="0.25">
      <c r="B75" s="4"/>
      <c r="C75" s="45">
        <f>SUM(C69:C74)</f>
        <v>72500</v>
      </c>
      <c r="D75" s="78"/>
      <c r="E75" s="78"/>
      <c r="F75" s="45">
        <f>SUM(F69:F74)</f>
        <v>3561.6666666666665</v>
      </c>
      <c r="G75" s="11"/>
      <c r="H75" s="11"/>
      <c r="J75" s="11"/>
    </row>
    <row r="76" spans="2:10" x14ac:dyDescent="0.25">
      <c r="B76" s="4"/>
      <c r="F76" s="65"/>
    </row>
    <row r="77" spans="2:10" x14ac:dyDescent="0.25">
      <c r="B77" s="4"/>
      <c r="F77" s="65"/>
    </row>
    <row r="78" spans="2:10" x14ac:dyDescent="0.25">
      <c r="B78" s="12" t="s">
        <v>49</v>
      </c>
    </row>
    <row r="79" spans="2:10" x14ac:dyDescent="0.25">
      <c r="B79" s="13" t="s">
        <v>29</v>
      </c>
      <c r="C79" s="13"/>
      <c r="D79" s="13" t="s">
        <v>30</v>
      </c>
      <c r="E79" s="13" t="s">
        <v>3</v>
      </c>
      <c r="F79" s="19" t="s">
        <v>50</v>
      </c>
      <c r="G79" s="18"/>
    </row>
    <row r="80" spans="2:10" x14ac:dyDescent="0.25">
      <c r="B80" s="13" t="s">
        <v>20</v>
      </c>
      <c r="C80" s="2"/>
      <c r="D80" s="32" t="s">
        <v>51</v>
      </c>
      <c r="E80" s="32">
        <v>2.3E-2</v>
      </c>
      <c r="F80" s="66">
        <f>G15</f>
        <v>534.81869680479997</v>
      </c>
      <c r="G80" s="35"/>
      <c r="H80" s="34"/>
    </row>
    <row r="81" spans="2:9" x14ac:dyDescent="0.25">
      <c r="B81" s="13" t="s">
        <v>52</v>
      </c>
      <c r="C81" s="2"/>
      <c r="D81" s="2" t="s">
        <v>53</v>
      </c>
      <c r="E81" s="2"/>
      <c r="F81" s="66">
        <v>50</v>
      </c>
      <c r="G81" s="3"/>
      <c r="H81" s="34"/>
    </row>
    <row r="82" spans="2:9" x14ac:dyDescent="0.25">
      <c r="B82" s="19" t="s">
        <v>54</v>
      </c>
      <c r="C82" s="2"/>
      <c r="D82" s="2"/>
      <c r="E82" s="2"/>
      <c r="F82" s="67">
        <f>F81+F80</f>
        <v>584.81869680479997</v>
      </c>
      <c r="G82" s="35"/>
      <c r="H82" s="3"/>
    </row>
    <row r="83" spans="2:9" x14ac:dyDescent="0.25">
      <c r="I83" s="36"/>
    </row>
    <row r="84" spans="2:9" x14ac:dyDescent="0.25">
      <c r="B84" s="18" t="s">
        <v>58</v>
      </c>
      <c r="I84" s="33"/>
    </row>
    <row r="85" spans="2:9" x14ac:dyDescent="0.25">
      <c r="B85" s="2" t="s">
        <v>57</v>
      </c>
      <c r="C85" s="6">
        <f>F15</f>
        <v>25352.986817600002</v>
      </c>
      <c r="D85" s="2" t="s">
        <v>17</v>
      </c>
      <c r="E85" s="9">
        <f>C89/C6</f>
        <v>8174.8578214410272</v>
      </c>
      <c r="I85" s="33"/>
    </row>
    <row r="86" spans="2:9" x14ac:dyDescent="0.25">
      <c r="B86" s="2" t="s">
        <v>21</v>
      </c>
      <c r="C86" s="9">
        <f>F37+F47+F56+F62</f>
        <v>5441.6045080512813</v>
      </c>
      <c r="D86" s="2" t="s">
        <v>18</v>
      </c>
      <c r="E86" s="9">
        <f>C89/C5</f>
        <v>1634.9715642882054</v>
      </c>
    </row>
    <row r="87" spans="2:9" x14ac:dyDescent="0.25">
      <c r="B87" s="2" t="s">
        <v>55</v>
      </c>
      <c r="C87" s="6">
        <f>C85-C86</f>
        <v>19911.382309548721</v>
      </c>
      <c r="D87" s="2" t="s">
        <v>19</v>
      </c>
      <c r="E87" s="9">
        <f>C90/C6</f>
        <v>7882.4484730386275</v>
      </c>
    </row>
    <row r="88" spans="2:9" x14ac:dyDescent="0.25">
      <c r="B88" s="2" t="s">
        <v>5</v>
      </c>
      <c r="C88" s="9">
        <f>F75</f>
        <v>3561.6666666666665</v>
      </c>
    </row>
    <row r="89" spans="2:9" x14ac:dyDescent="0.25">
      <c r="B89" s="2" t="s">
        <v>15</v>
      </c>
      <c r="C89" s="9">
        <f>C85-C86-C88</f>
        <v>16349.715642882054</v>
      </c>
    </row>
    <row r="90" spans="2:9" x14ac:dyDescent="0.25">
      <c r="B90" s="5" t="s">
        <v>16</v>
      </c>
      <c r="C90" s="9">
        <f>C89-F82</f>
        <v>15764.896946077255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Sit. inicial</vt:lpstr>
      <vt:lpstr>Evolução reb</vt:lpstr>
      <vt:lpstr>Sit chegada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Proj. Indiv.</vt:lpstr>
      <vt:lpstr>VA Direto</vt:lpstr>
      <vt:lpstr>D.R. inicial</vt:lpstr>
      <vt:lpstr>D.R. Final</vt:lpstr>
      <vt:lpstr>Efeitos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Avaliador</cp:lastModifiedBy>
  <dcterms:created xsi:type="dcterms:W3CDTF">2013-04-01T23:37:19Z</dcterms:created>
  <dcterms:modified xsi:type="dcterms:W3CDTF">2016-06-01T21:00:23Z</dcterms:modified>
</cp:coreProperties>
</file>