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Universidade FFS\4Extensão\1Rede SAA\EMBRAPA\Curso EMBRAPA AMAZONIA\"/>
    </mc:Choice>
  </mc:AlternateContent>
  <xr:revisionPtr revIDLastSave="0" documentId="13_ncr:1_{7002D746-74C2-430D-B349-C3531B3ECBDE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Resultados econômicos globais" sheetId="3" r:id="rId1"/>
    <sheet name="Modelos lineares globais" sheetId="4" r:id="rId2"/>
    <sheet name="Composição da renda" sheetId="5" r:id="rId3"/>
    <sheet name="Simulação" sheetId="6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2" i="6" l="1"/>
  <c r="F10" i="5"/>
  <c r="E10" i="4"/>
  <c r="J11" i="4" s="1"/>
  <c r="B10" i="4"/>
  <c r="B8" i="4"/>
  <c r="D7" i="4"/>
  <c r="B7" i="4"/>
  <c r="D6" i="4"/>
  <c r="B6" i="4"/>
  <c r="D5" i="4"/>
  <c r="B5" i="4"/>
  <c r="D4" i="4"/>
  <c r="B4" i="4"/>
  <c r="K2" i="4"/>
  <c r="J2" i="4"/>
  <c r="I2" i="4"/>
  <c r="G2" i="4"/>
  <c r="F2" i="4"/>
  <c r="E2" i="4"/>
  <c r="E8" i="4" s="1"/>
  <c r="D2" i="4"/>
  <c r="B2" i="4"/>
  <c r="C12" i="4"/>
  <c r="C96" i="3"/>
  <c r="D96" i="3" s="1"/>
  <c r="D95" i="3"/>
  <c r="D92" i="3"/>
  <c r="D91" i="3"/>
  <c r="D90" i="3"/>
  <c r="D89" i="3"/>
  <c r="D88" i="3"/>
  <c r="D87" i="3"/>
  <c r="D86" i="3"/>
  <c r="D85" i="3"/>
  <c r="D84" i="3"/>
  <c r="F74" i="3"/>
  <c r="D57" i="3"/>
  <c r="C60" i="3" s="1"/>
  <c r="F60" i="3" s="1"/>
  <c r="D53" i="3"/>
  <c r="F53" i="3" s="1"/>
  <c r="D50" i="3"/>
  <c r="C46" i="3"/>
  <c r="F46" i="3" s="1"/>
  <c r="G43" i="3"/>
  <c r="C31" i="3"/>
  <c r="H24" i="3"/>
  <c r="I23" i="3"/>
  <c r="H23" i="3"/>
  <c r="I22" i="3"/>
  <c r="D22" i="3"/>
  <c r="H22" i="3" s="1"/>
  <c r="D21" i="3"/>
  <c r="H21" i="3" s="1"/>
  <c r="D20" i="3"/>
  <c r="D64" i="3" s="1"/>
  <c r="F64" i="3" s="1"/>
  <c r="I19" i="3"/>
  <c r="D19" i="3"/>
  <c r="D52" i="3" s="1"/>
  <c r="F52" i="3" s="1"/>
  <c r="I18" i="3"/>
  <c r="D18" i="3"/>
  <c r="C72" i="3" s="1"/>
  <c r="E72" i="3" s="1"/>
  <c r="J11" i="3"/>
  <c r="H11" i="3"/>
  <c r="F33" i="3" s="1"/>
  <c r="J10" i="3"/>
  <c r="H10" i="3"/>
  <c r="H33" i="3" s="1"/>
  <c r="C40" i="3" s="1"/>
  <c r="J9" i="3"/>
  <c r="H9" i="3"/>
  <c r="J33" i="3" s="1"/>
  <c r="C45" i="3" s="1"/>
  <c r="F45" i="3" s="1"/>
  <c r="J8" i="3"/>
  <c r="H5" i="3"/>
  <c r="C71" i="3" l="1"/>
  <c r="E71" i="3" s="1"/>
  <c r="H18" i="3"/>
  <c r="H19" i="3"/>
  <c r="C49" i="3"/>
  <c r="F49" i="3" s="1"/>
  <c r="C59" i="3"/>
  <c r="F59" i="3" s="1"/>
  <c r="D33" i="3"/>
  <c r="C36" i="3" s="1"/>
  <c r="F36" i="3" s="1"/>
  <c r="C61" i="3"/>
  <c r="F61" i="3" s="1"/>
  <c r="C73" i="3"/>
  <c r="E73" i="3" s="1"/>
  <c r="C78" i="3"/>
  <c r="F40" i="3"/>
  <c r="C41" i="3"/>
  <c r="F41" i="3" s="1"/>
  <c r="E105" i="3"/>
  <c r="H20" i="3"/>
  <c r="D65" i="3"/>
  <c r="F65" i="3" s="1"/>
  <c r="D62" i="3"/>
  <c r="F62" i="3" s="1"/>
  <c r="H66" i="3" s="1"/>
  <c r="D63" i="3"/>
  <c r="G99" i="3"/>
  <c r="H99" i="3" s="1"/>
  <c r="F99" i="3"/>
  <c r="C42" i="3"/>
  <c r="C38" i="3"/>
  <c r="C44" i="3"/>
  <c r="F44" i="3" s="1"/>
  <c r="C39" i="3"/>
  <c r="F39" i="3" s="1"/>
  <c r="L8" i="3"/>
  <c r="C37" i="3"/>
  <c r="F37" i="3" s="1"/>
  <c r="C50" i="3"/>
  <c r="F50" i="3" s="1"/>
  <c r="F9" i="5"/>
  <c r="D24" i="5"/>
  <c r="B29" i="5"/>
  <c r="B30" i="5" s="1"/>
  <c r="B31" i="5" s="1"/>
  <c r="B32" i="5" s="1"/>
  <c r="B28" i="5"/>
  <c r="G11" i="4"/>
  <c r="E7" i="4"/>
  <c r="C35" i="3"/>
  <c r="F35" i="3" s="1"/>
  <c r="E106" i="3"/>
  <c r="H2" i="4"/>
  <c r="J10" i="4"/>
  <c r="H12" i="3"/>
  <c r="D51" i="3"/>
  <c r="C70" i="3"/>
  <c r="E70" i="3" s="1"/>
  <c r="C74" i="3"/>
  <c r="E74" i="3" s="1"/>
  <c r="C75" i="3"/>
  <c r="E75" i="3" s="1"/>
  <c r="F20" i="5" l="1"/>
  <c r="C43" i="3"/>
  <c r="F43" i="3" s="1"/>
  <c r="F42" i="3"/>
  <c r="C9" i="5"/>
  <c r="D20" i="5"/>
  <c r="C11" i="4"/>
  <c r="G79" i="3"/>
  <c r="H54" i="3"/>
  <c r="C9" i="3"/>
  <c r="C9" i="4"/>
  <c r="C14" i="3"/>
  <c r="H47" i="3"/>
  <c r="F38" i="3"/>
  <c r="C12" i="3"/>
  <c r="C7" i="4" s="1"/>
  <c r="H55" i="3" l="1"/>
  <c r="G81" i="3"/>
  <c r="C10" i="3" s="1"/>
  <c r="C11" i="3" s="1"/>
  <c r="K9" i="3"/>
  <c r="C10" i="5"/>
  <c r="C5" i="4"/>
  <c r="I7" i="4"/>
  <c r="C13" i="4"/>
  <c r="H7" i="4" s="1"/>
  <c r="C27" i="5"/>
  <c r="G20" i="5"/>
  <c r="F21" i="5" s="1"/>
  <c r="F22" i="5" s="1"/>
  <c r="E10" i="5" l="1"/>
  <c r="C13" i="3"/>
  <c r="D10" i="5"/>
  <c r="C6" i="4"/>
  <c r="H6" i="4" s="1"/>
  <c r="K8" i="3"/>
  <c r="C28" i="5"/>
  <c r="D28" i="5" s="1"/>
  <c r="D29" i="5" s="1"/>
  <c r="E29" i="5" s="1"/>
  <c r="G29" i="5" l="1"/>
  <c r="G30" i="5" s="1"/>
  <c r="E30" i="5"/>
  <c r="I10" i="5"/>
  <c r="E107" i="3"/>
  <c r="C8" i="4"/>
  <c r="E4" i="4" s="1"/>
  <c r="E5" i="4"/>
  <c r="C15" i="3"/>
  <c r="D9" i="5"/>
  <c r="I6" i="4"/>
  <c r="K11" i="3"/>
  <c r="G10" i="5" l="1"/>
  <c r="E31" i="5"/>
  <c r="H21" i="5"/>
  <c r="C10" i="4"/>
  <c r="E6" i="4" s="1"/>
  <c r="E9" i="5"/>
  <c r="L10" i="3"/>
  <c r="F31" i="5" l="1"/>
  <c r="P13" i="6"/>
  <c r="G9" i="5"/>
  <c r="K10" i="3" l="1"/>
  <c r="I9" i="5"/>
  <c r="I11" i="5" s="1"/>
  <c r="G31" i="5" l="1"/>
  <c r="E20" i="5" l="1"/>
  <c r="H20" i="5" s="1"/>
  <c r="H22" i="5" s="1"/>
  <c r="F32" i="5"/>
  <c r="P16" i="6" s="1"/>
  <c r="P19" i="6" s="1"/>
</calcChain>
</file>

<file path=xl/sharedStrings.xml><?xml version="1.0" encoding="utf-8"?>
<sst xmlns="http://schemas.openxmlformats.org/spreadsheetml/2006/main" count="264" uniqueCount="190">
  <si>
    <t>gado de corte</t>
  </si>
  <si>
    <t>milho subsistência</t>
  </si>
  <si>
    <t>22 hectares próprios junto a casa + 3,5 em outra localidade + 3,5 da irmã que ele planta e não paga arrendamento</t>
  </si>
  <si>
    <t>casal mais 1 filho + 1 funcionário</t>
  </si>
  <si>
    <t>agroindústria de queijos (não vende leite)</t>
  </si>
  <si>
    <t>S.A.U. =</t>
  </si>
  <si>
    <t>ha</t>
  </si>
  <si>
    <t>UT =</t>
  </si>
  <si>
    <t>UTf =</t>
  </si>
  <si>
    <t>pessoas</t>
  </si>
  <si>
    <t>coef. a</t>
  </si>
  <si>
    <t>VAB/ha</t>
  </si>
  <si>
    <t>Resultados economicos globais</t>
  </si>
  <si>
    <t>Alimento</t>
  </si>
  <si>
    <t>Área leite</t>
  </si>
  <si>
    <t>Produção bruta</t>
  </si>
  <si>
    <t>Produtividade</t>
  </si>
  <si>
    <t>Tifton</t>
  </si>
  <si>
    <t>Cons. Interm.</t>
  </si>
  <si>
    <t>RA/Utf</t>
  </si>
  <si>
    <t>Milho sil./aveia</t>
  </si>
  <si>
    <t>Valor agregado “bruto”</t>
  </si>
  <si>
    <t>VAB/SAU</t>
  </si>
  <si>
    <t>Milheto/aveia</t>
  </si>
  <si>
    <t>Depreciações</t>
  </si>
  <si>
    <t>VA/SAU</t>
  </si>
  <si>
    <t>Total</t>
  </si>
  <si>
    <t>Valor agregado</t>
  </si>
  <si>
    <t>SAU/UT</t>
  </si>
  <si>
    <t>Distribibuição VA exceto RA</t>
  </si>
  <si>
    <t>SAU/Utf</t>
  </si>
  <si>
    <t>renda agrícola global</t>
  </si>
  <si>
    <t xml:space="preserve">Área  </t>
  </si>
  <si>
    <t>Produção anim.</t>
  </si>
  <si>
    <t>Unidade</t>
  </si>
  <si>
    <t>Rendimento</t>
  </si>
  <si>
    <t>Unidade rend.</t>
  </si>
  <si>
    <t>Produção anual</t>
  </si>
  <si>
    <t xml:space="preserve">Preço </t>
  </si>
  <si>
    <t>Valor</t>
  </si>
  <si>
    <t>queijos (leite-agroindustria)</t>
  </si>
  <si>
    <t>kg/dia</t>
  </si>
  <si>
    <t>kg queijo/l leite</t>
  </si>
  <si>
    <t>leite produzido (não vendido)</t>
  </si>
  <si>
    <t>vacas lactação</t>
  </si>
  <si>
    <t>l/dia/vac. lact.</t>
  </si>
  <si>
    <t>cbç/ano</t>
  </si>
  <si>
    <t>kg/animal</t>
  </si>
  <si>
    <t>ovos subsistência</t>
  </si>
  <si>
    <t>dz/mes</t>
  </si>
  <si>
    <t>frangos subsistência</t>
  </si>
  <si>
    <t>cbç/mês</t>
  </si>
  <si>
    <t>kg/ha</t>
  </si>
  <si>
    <t>horta e pomar subsistência</t>
  </si>
  <si>
    <t>TOTAL</t>
  </si>
  <si>
    <t>Consumo intermediário</t>
  </si>
  <si>
    <t xml:space="preserve">Subsistência  </t>
  </si>
  <si>
    <t>R$/ha</t>
  </si>
  <si>
    <t>Milho (ha):</t>
  </si>
  <si>
    <t>Milheto (ha):</t>
  </si>
  <si>
    <t>Aveia (ha):</t>
  </si>
  <si>
    <t>Tifton (ha):</t>
  </si>
  <si>
    <t>Área</t>
  </si>
  <si>
    <t>Quant./ha</t>
  </si>
  <si>
    <t>Quantidade total</t>
  </si>
  <si>
    <t>preço</t>
  </si>
  <si>
    <t>total</t>
  </si>
  <si>
    <t>Adubação silagem</t>
  </si>
  <si>
    <t>sc/ha</t>
  </si>
  <si>
    <t>semente milho</t>
  </si>
  <si>
    <t>díesel silagem</t>
  </si>
  <si>
    <t>l/ha</t>
  </si>
  <si>
    <t>lona silagem</t>
  </si>
  <si>
    <t>R$/safra</t>
  </si>
  <si>
    <t>uréia silagem</t>
  </si>
  <si>
    <t>adubação aveia</t>
  </si>
  <si>
    <t>sementes aveia</t>
  </si>
  <si>
    <t>semente milheto</t>
  </si>
  <si>
    <t>adubação milheto</t>
  </si>
  <si>
    <t>uréia milheto</t>
  </si>
  <si>
    <t>Uréia tifton</t>
  </si>
  <si>
    <t>kg/ha/mês</t>
  </si>
  <si>
    <t>Adubação tifton</t>
  </si>
  <si>
    <t>Subtotal</t>
  </si>
  <si>
    <t>Dose</t>
  </si>
  <si>
    <t>inseminação artificial</t>
  </si>
  <si>
    <t>dose/vaca</t>
  </si>
  <si>
    <t>rações e farelos</t>
  </si>
  <si>
    <t>kg/vaca</t>
  </si>
  <si>
    <t>medicamentos veterinários</t>
  </si>
  <si>
    <t>R$/mês</t>
  </si>
  <si>
    <t>sal mineral</t>
  </si>
  <si>
    <t>sc/mês</t>
  </si>
  <si>
    <t>sal comum</t>
  </si>
  <si>
    <t xml:space="preserve"> Gado do corte</t>
  </si>
  <si>
    <t>Área ou quant.</t>
  </si>
  <si>
    <t xml:space="preserve">kg  </t>
  </si>
  <si>
    <t xml:space="preserve">Agroindústria  </t>
  </si>
  <si>
    <t>Fabricação de queijo</t>
  </si>
  <si>
    <t>Quantidade</t>
  </si>
  <si>
    <t>Coalho</t>
  </si>
  <si>
    <t>ml/dia</t>
  </si>
  <si>
    <t>sal para temperar queijo</t>
  </si>
  <si>
    <t>fermento lacteo</t>
  </si>
  <si>
    <t>g/dia</t>
  </si>
  <si>
    <t>gás (botijões de 13kg)</t>
  </si>
  <si>
    <t>por mês</t>
  </si>
  <si>
    <t>rótulos</t>
  </si>
  <si>
    <t>rótulos/kg/dia</t>
  </si>
  <si>
    <t>embalagens</t>
  </si>
  <si>
    <t>emb/kg/dia</t>
  </si>
  <si>
    <t>licença na prefeitura</t>
  </si>
  <si>
    <t>aferição da balança</t>
  </si>
  <si>
    <t>energia elétrica</t>
  </si>
  <si>
    <t>TOTAL DO CONSUMO INTERMEDIÁRIO</t>
  </si>
  <si>
    <t>Valor novo</t>
  </si>
  <si>
    <t>Valor residual</t>
  </si>
  <si>
    <t>Vida útil</t>
  </si>
  <si>
    <t>depreciação anual</t>
  </si>
  <si>
    <t>embaladora a vácuo</t>
  </si>
  <si>
    <t>específico agroind.</t>
  </si>
  <si>
    <t>tanque para queijo</t>
  </si>
  <si>
    <t>resfriador 250 litros</t>
  </si>
  <si>
    <t>específico leite</t>
  </si>
  <si>
    <t>balança de precisão</t>
  </si>
  <si>
    <t>ordenhadeira</t>
  </si>
  <si>
    <t>semeadora (1/3 sociedade)</t>
  </si>
  <si>
    <t>adubador a lanço</t>
  </si>
  <si>
    <t>ensiladeira  (1/3 sociedade)</t>
  </si>
  <si>
    <t>pé de pato</t>
  </si>
  <si>
    <t>biodigestor</t>
  </si>
  <si>
    <t>galpão agroindústria</t>
  </si>
  <si>
    <t>galpão sementes e produtos</t>
  </si>
  <si>
    <t>Sala de ordenha</t>
  </si>
  <si>
    <t>grade de discos</t>
  </si>
  <si>
    <t>trator MF55x</t>
  </si>
  <si>
    <t>TOTAL (todas não proporcionais)</t>
  </si>
  <si>
    <t>Distribuição do valor agregado</t>
  </si>
  <si>
    <t>R$/dia</t>
  </si>
  <si>
    <t>pagamento de funcionário (dias/mes)</t>
  </si>
  <si>
    <t>Funrural 2,3% PB Agroindústria</t>
  </si>
  <si>
    <t>RA</t>
  </si>
  <si>
    <t>Coeficientes</t>
  </si>
  <si>
    <t>RA/UTf</t>
  </si>
  <si>
    <t>VA/UT</t>
  </si>
  <si>
    <t>a =</t>
  </si>
  <si>
    <t>b =</t>
  </si>
  <si>
    <t>Distribuição do VA</t>
  </si>
  <si>
    <t>Salário mínimo</t>
  </si>
  <si>
    <t>SAU/UTf</t>
  </si>
  <si>
    <t>NRS</t>
  </si>
  <si>
    <t>DVAER proporcionais</t>
  </si>
  <si>
    <t>DVAER não proporcionais</t>
  </si>
  <si>
    <t>Gastos não proporcionais</t>
  </si>
  <si>
    <t>Sistema agroindústria queijos</t>
  </si>
  <si>
    <t>S.A.U.</t>
  </si>
  <si>
    <t>UT</t>
  </si>
  <si>
    <t>Utf</t>
  </si>
  <si>
    <t>Subsistema</t>
  </si>
  <si>
    <t>VA Bruto</t>
  </si>
  <si>
    <t>SAU</t>
  </si>
  <si>
    <t>DVAER proporcionais /SAU</t>
  </si>
  <si>
    <t>Contribuição marginal à renda (coef. a)</t>
  </si>
  <si>
    <t>subsistencia</t>
  </si>
  <si>
    <t>gado corte</t>
  </si>
  <si>
    <t>leite-agroind.</t>
  </si>
  <si>
    <t>leite</t>
  </si>
  <si>
    <t>agroindústria</t>
  </si>
  <si>
    <t>Global</t>
  </si>
  <si>
    <t>Contribuição marginal a renda</t>
  </si>
  <si>
    <t xml:space="preserve">SAU/UTf </t>
  </si>
  <si>
    <t xml:space="preserve">Contribuição absoluta </t>
  </si>
  <si>
    <t xml:space="preserve">Gastos não proporcionais por UTf (coeficientes “b”) </t>
  </si>
  <si>
    <t xml:space="preserve">Específico </t>
  </si>
  <si>
    <t xml:space="preserve">Geral </t>
  </si>
  <si>
    <t>Gado de corte</t>
  </si>
  <si>
    <t>Leite</t>
  </si>
  <si>
    <t>Agroindústria</t>
  </si>
  <si>
    <t>leite-agroindústria</t>
  </si>
  <si>
    <t>SIMULAÇÃO</t>
  </si>
  <si>
    <t>Preço leite</t>
  </si>
  <si>
    <t>Preço queijo</t>
  </si>
  <si>
    <t>Renda só c/leite</t>
  </si>
  <si>
    <t>Renda agro-leite</t>
  </si>
  <si>
    <t>Agreg. p/agroind.</t>
  </si>
  <si>
    <t>preço queijo/leite</t>
  </si>
  <si>
    <t>Leite - rebanho</t>
  </si>
  <si>
    <t>Leite - pastagens e silagem</t>
  </si>
  <si>
    <t>Sistema de produção com agroindústria de queijo</t>
  </si>
  <si>
    <t xml:space="preserve"> (12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</si>
</sst>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\ @\ 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CE181E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66"/>
        <bgColor rgb="FFFFFFA6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rgb="FFFFFF66"/>
      </patternFill>
    </fill>
    <fill>
      <patternFill patternType="solid">
        <fgColor rgb="FFFFFF00"/>
        <bgColor rgb="FFEEEEEE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Border="0" applyProtection="0"/>
    <xf numFmtId="9" fontId="7" fillId="0" borderId="0" applyBorder="0" applyProtection="0"/>
    <xf numFmtId="0" fontId="7" fillId="0" borderId="0" applyBorder="0" applyProtection="0"/>
  </cellStyleXfs>
  <cellXfs count="131">
    <xf numFmtId="0" fontId="0" fillId="0" borderId="0" xfId="0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2" xfId="0" applyFont="1" applyBorder="1"/>
    <xf numFmtId="4" fontId="1" fillId="2" borderId="2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1" xfId="0" applyFont="1" applyBorder="1"/>
    <xf numFmtId="4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9" fontId="0" fillId="0" borderId="0" xfId="2" applyFont="1" applyBorder="1" applyAlignment="1" applyProtection="1"/>
    <xf numFmtId="4" fontId="0" fillId="0" borderId="1" xfId="1" applyNumberFormat="1" applyFont="1" applyBorder="1" applyAlignment="1" applyProtection="1">
      <alignment horizontal="center"/>
    </xf>
    <xf numFmtId="4" fontId="0" fillId="0" borderId="0" xfId="1" applyNumberFormat="1" applyFont="1" applyBorder="1" applyAlignment="1" applyProtection="1">
      <alignment horizontal="center"/>
    </xf>
    <xf numFmtId="4" fontId="0" fillId="0" borderId="0" xfId="0" applyNumberFormat="1" applyBorder="1" applyAlignment="1">
      <alignment horizontal="center"/>
    </xf>
    <xf numFmtId="164" fontId="0" fillId="0" borderId="0" xfId="1" applyFont="1" applyBorder="1" applyAlignment="1" applyProtection="1"/>
    <xf numFmtId="4" fontId="0" fillId="2" borderId="0" xfId="1" applyNumberFormat="1" applyFont="1" applyFill="1" applyBorder="1" applyAlignment="1" applyProtection="1">
      <alignment horizontal="center"/>
    </xf>
    <xf numFmtId="0" fontId="0" fillId="2" borderId="2" xfId="0" applyFont="1" applyFill="1" applyBorder="1"/>
    <xf numFmtId="4" fontId="0" fillId="2" borderId="2" xfId="1" applyNumberFormat="1" applyFont="1" applyFill="1" applyBorder="1" applyAlignment="1" applyProtection="1">
      <alignment horizontal="center"/>
    </xf>
    <xf numFmtId="0" fontId="1" fillId="2" borderId="2" xfId="0" applyFont="1" applyFill="1" applyBorder="1"/>
    <xf numFmtId="4" fontId="1" fillId="2" borderId="2" xfId="1" applyNumberFormat="1" applyFont="1" applyFill="1" applyBorder="1" applyAlignment="1" applyProtection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4" fontId="0" fillId="0" borderId="2" xfId="1" applyNumberFormat="1" applyFont="1" applyBorder="1" applyAlignment="1" applyProtection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4" fontId="1" fillId="0" borderId="0" xfId="1" applyNumberFormat="1" applyFont="1" applyBorder="1" applyAlignment="1" applyProtection="1">
      <alignment horizontal="center"/>
    </xf>
    <xf numFmtId="0" fontId="0" fillId="0" borderId="0" xfId="0" applyBorder="1"/>
    <xf numFmtId="4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2" xfId="1" applyNumberFormat="1" applyFont="1" applyBorder="1" applyAlignment="1" applyProtection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1" applyNumberFormat="1" applyFont="1" applyBorder="1" applyAlignment="1" applyProtection="1">
      <alignment horizontal="center"/>
    </xf>
    <xf numFmtId="0" fontId="5" fillId="0" borderId="0" xfId="0" applyFont="1"/>
    <xf numFmtId="4" fontId="5" fillId="0" borderId="0" xfId="1" applyNumberFormat="1" applyFont="1" applyBorder="1" applyAlignment="1" applyProtection="1">
      <alignment horizontal="center"/>
    </xf>
    <xf numFmtId="4" fontId="5" fillId="0" borderId="0" xfId="0" applyNumberFormat="1" applyFont="1" applyAlignment="1">
      <alignment horizontal="center"/>
    </xf>
    <xf numFmtId="0" fontId="5" fillId="0" borderId="6" xfId="0" applyFont="1" applyBorder="1"/>
    <xf numFmtId="4" fontId="5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8" xfId="1" applyNumberFormat="1" applyFont="1" applyBorder="1" applyAlignment="1" applyProtection="1">
      <alignment horizontal="center"/>
    </xf>
    <xf numFmtId="4" fontId="1" fillId="0" borderId="2" xfId="0" applyNumberFormat="1" applyFont="1" applyBorder="1"/>
    <xf numFmtId="4" fontId="0" fillId="0" borderId="2" xfId="0" applyNumberFormat="1" applyBorder="1"/>
    <xf numFmtId="4" fontId="0" fillId="0" borderId="0" xfId="0" applyNumberFormat="1" applyFont="1" applyAlignment="1">
      <alignment horizontal="center"/>
    </xf>
    <xf numFmtId="4" fontId="0" fillId="0" borderId="1" xfId="0" applyNumberFormat="1" applyFont="1" applyBorder="1" applyAlignment="1">
      <alignment horizontal="left"/>
    </xf>
    <xf numFmtId="4" fontId="0" fillId="0" borderId="0" xfId="0" applyNumberFormat="1" applyBorder="1"/>
    <xf numFmtId="4" fontId="0" fillId="0" borderId="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2" fontId="6" fillId="0" borderId="2" xfId="0" applyNumberFormat="1" applyFont="1" applyBorder="1" applyAlignment="1">
      <alignment horizontal="left"/>
    </xf>
    <xf numFmtId="4" fontId="6" fillId="0" borderId="2" xfId="1" applyNumberFormat="1" applyFont="1" applyBorder="1" applyAlignment="1" applyProtection="1">
      <alignment horizontal="center"/>
    </xf>
    <xf numFmtId="4" fontId="6" fillId="0" borderId="2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1" applyNumberFormat="1" applyFont="1" applyBorder="1" applyAlignment="1" applyProtection="1">
      <alignment horizontal="center" vertical="center" wrapText="1"/>
    </xf>
    <xf numFmtId="2" fontId="6" fillId="0" borderId="0" xfId="1" applyNumberFormat="1" applyFont="1" applyBorder="1" applyAlignment="1" applyProtection="1">
      <alignment horizontal="center" vertical="center" wrapText="1"/>
    </xf>
    <xf numFmtId="0" fontId="6" fillId="0" borderId="0" xfId="0" applyFont="1"/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1" applyNumberFormat="1" applyFont="1" applyBorder="1" applyAlignment="1" applyProtection="1">
      <alignment horizontal="center"/>
    </xf>
    <xf numFmtId="2" fontId="0" fillId="0" borderId="0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2" borderId="2" xfId="0" applyNumberFormat="1" applyFont="1" applyFill="1" applyBorder="1" applyAlignment="1">
      <alignment horizontal="center"/>
    </xf>
    <xf numFmtId="0" fontId="0" fillId="0" borderId="2" xfId="0" applyBorder="1"/>
    <xf numFmtId="4" fontId="0" fillId="2" borderId="3" xfId="0" applyNumberFormat="1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on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2" borderId="3" xfId="0" applyFont="1" applyFill="1" applyBorder="1"/>
    <xf numFmtId="4" fontId="0" fillId="2" borderId="5" xfId="1" applyNumberFormat="1" applyFont="1" applyFill="1" applyBorder="1" applyAlignment="1" applyProtection="1">
      <alignment horizontal="center"/>
    </xf>
    <xf numFmtId="0" fontId="3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4" fontId="5" fillId="0" borderId="2" xfId="1" applyNumberFormat="1" applyFont="1" applyBorder="1" applyAlignment="1" applyProtection="1">
      <alignment horizontal="center"/>
    </xf>
    <xf numFmtId="4" fontId="3" fillId="0" borderId="2" xfId="1" applyNumberFormat="1" applyFont="1" applyBorder="1" applyAlignment="1" applyProtection="1">
      <alignment horizontal="center"/>
    </xf>
    <xf numFmtId="4" fontId="0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4" fontId="0" fillId="0" borderId="10" xfId="0" applyNumberFormat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0" fillId="5" borderId="2" xfId="1" applyNumberFormat="1" applyFont="1" applyFill="1" applyBorder="1" applyAlignment="1" applyProtection="1">
      <alignment horizontal="center"/>
    </xf>
    <xf numFmtId="4" fontId="0" fillId="6" borderId="2" xfId="1" applyNumberFormat="1" applyFont="1" applyFill="1" applyBorder="1" applyAlignment="1" applyProtection="1">
      <alignment horizontal="center"/>
    </xf>
    <xf numFmtId="4" fontId="0" fillId="6" borderId="2" xfId="0" applyNumberFormat="1" applyFill="1" applyBorder="1" applyAlignment="1">
      <alignment horizontal="center"/>
    </xf>
    <xf numFmtId="0" fontId="0" fillId="2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ont="1" applyFill="1" applyBorder="1"/>
    <xf numFmtId="0" fontId="0" fillId="2" borderId="3" xfId="0" applyFill="1" applyBorder="1"/>
    <xf numFmtId="0" fontId="0" fillId="2" borderId="11" xfId="0" applyFont="1" applyFill="1" applyBorder="1"/>
    <xf numFmtId="2" fontId="0" fillId="0" borderId="0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lef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/>
    <xf numFmtId="4" fontId="0" fillId="0" borderId="3" xfId="0" applyNumberFormat="1" applyBorder="1" applyAlignment="1">
      <alignment horizontal="center"/>
    </xf>
    <xf numFmtId="4" fontId="0" fillId="7" borderId="2" xfId="0" applyNumberFormat="1" applyFont="1" applyFill="1" applyBorder="1" applyAlignment="1">
      <alignment horizontal="center"/>
    </xf>
    <xf numFmtId="4" fontId="0" fillId="8" borderId="1" xfId="0" applyNumberFormat="1" applyFont="1" applyFill="1" applyBorder="1" applyAlignment="1">
      <alignment horizontal="center"/>
    </xf>
    <xf numFmtId="4" fontId="0" fillId="7" borderId="2" xfId="1" applyNumberFormat="1" applyFont="1" applyFill="1" applyBorder="1" applyAlignment="1" applyProtection="1">
      <alignment horizontal="center"/>
    </xf>
    <xf numFmtId="4" fontId="1" fillId="8" borderId="2" xfId="1" applyNumberFormat="1" applyFont="1" applyFill="1" applyBorder="1" applyAlignment="1" applyProtection="1">
      <alignment horizontal="center"/>
    </xf>
    <xf numFmtId="4" fontId="0" fillId="0" borderId="2" xfId="1" applyNumberFormat="1" applyFont="1" applyFill="1" applyBorder="1" applyAlignment="1" applyProtection="1">
      <alignment horizontal="center"/>
    </xf>
    <xf numFmtId="4" fontId="0" fillId="8" borderId="2" xfId="1" applyNumberFormat="1" applyFont="1" applyFill="1" applyBorder="1" applyAlignment="1" applyProtection="1">
      <alignment horizontal="center"/>
    </xf>
    <xf numFmtId="2" fontId="0" fillId="0" borderId="2" xfId="0" applyNumberFormat="1" applyBorder="1" applyAlignment="1">
      <alignment horizontal="left"/>
    </xf>
    <xf numFmtId="4" fontId="0" fillId="8" borderId="2" xfId="0" applyNumberFormat="1" applyFill="1" applyBorder="1" applyAlignment="1">
      <alignment horizontal="center"/>
    </xf>
    <xf numFmtId="4" fontId="5" fillId="8" borderId="2" xfId="1" applyNumberFormat="1" applyFont="1" applyFill="1" applyBorder="1" applyAlignment="1" applyProtection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Título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'Modelos lineares globais'!$H$9</c:f>
              <c:strCache>
                <c:ptCount val="1"/>
                <c:pt idx="0">
                  <c:v>RA/UTf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</c:v>
                </c:pt>
              </c:numCache>
            </c:numRef>
          </c:xVal>
          <c:yVal>
            <c:numRef>
              <c:f>'Modelos lineares globais'!$H$10:$H$12</c:f>
              <c:numCache>
                <c:formatCode>#,##0.00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4-47B2-93F4-EE9353B6D0DD}"/>
            </c:ext>
          </c:extLst>
        </c:ser>
        <c:ser>
          <c:idx val="1"/>
          <c:order val="1"/>
          <c:tx>
            <c:strRef>
              <c:f>'Modelos lineares globais'!$I$9</c:f>
              <c:strCache>
                <c:ptCount val="1"/>
                <c:pt idx="0">
                  <c:v>VA/UT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</c:v>
                </c:pt>
              </c:numCache>
            </c:numRef>
          </c:xVal>
          <c:yVal>
            <c:numRef>
              <c:f>'Modelos lineares globais'!$I$10:$I$12</c:f>
              <c:numCache>
                <c:formatCode>#,##0.00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54-47B2-93F4-EE9353B6D0DD}"/>
            </c:ext>
          </c:extLst>
        </c:ser>
        <c:ser>
          <c:idx val="2"/>
          <c:order val="2"/>
          <c:tx>
            <c:strRef>
              <c:f>'Modelos lineares globais'!$J$9</c:f>
              <c:strCache>
                <c:ptCount val="1"/>
                <c:pt idx="0">
                  <c:v>NRS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'Modelos lineares globais'!$G$10:$G$12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</c:v>
                </c:pt>
              </c:numCache>
            </c:numRef>
          </c:xVal>
          <c:yVal>
            <c:numRef>
              <c:f>'Modelos lineares globais'!$J$10:$J$12</c:f>
              <c:numCache>
                <c:formatCode>#,##0.00</c:formatCode>
                <c:ptCount val="3"/>
                <c:pt idx="0">
                  <c:v>8086</c:v>
                </c:pt>
                <c:pt idx="1">
                  <c:v>8086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54-47B2-93F4-EE9353B6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503"/>
        <c:axId val="44030501"/>
      </c:scatterChart>
      <c:valAx>
        <c:axId val="3683503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44030501"/>
        <c:crosses val="autoZero"/>
        <c:crossBetween val="midCat"/>
      </c:valAx>
      <c:valAx>
        <c:axId val="440305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368350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'Composição da renda'!$C$26</c:f>
              <c:strCache>
                <c:ptCount val="1"/>
                <c:pt idx="0">
                  <c:v>subsistencia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renda'!$C$27:$C$32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5-413D-97BD-213B5754C2E1}"/>
            </c:ext>
          </c:extLst>
        </c:ser>
        <c:ser>
          <c:idx val="1"/>
          <c:order val="1"/>
          <c:tx>
            <c:strRef>
              <c:f>'Composição da renda'!$D$26</c:f>
              <c:strCache>
                <c:ptCount val="1"/>
                <c:pt idx="0">
                  <c:v>Gado de corte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renda'!$D$27:$D$32</c:f>
              <c:numCache>
                <c:formatCode>#,##0.00</c:formatCode>
                <c:ptCount val="6"/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5-413D-97BD-213B5754C2E1}"/>
            </c:ext>
          </c:extLst>
        </c:ser>
        <c:ser>
          <c:idx val="2"/>
          <c:order val="2"/>
          <c:tx>
            <c:strRef>
              <c:f>'Composição da renda'!$E$26</c:f>
              <c:strCache>
                <c:ptCount val="1"/>
                <c:pt idx="0">
                  <c:v>Leite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renda'!$E$27:$E$32</c:f>
              <c:numCache>
                <c:formatCode>#,##0.00</c:formatCode>
                <c:ptCount val="6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55-413D-97BD-213B5754C2E1}"/>
            </c:ext>
          </c:extLst>
        </c:ser>
        <c:ser>
          <c:idx val="3"/>
          <c:order val="3"/>
          <c:tx>
            <c:strRef>
              <c:f>'Composição da renda'!$F$26</c:f>
              <c:strCache>
                <c:ptCount val="1"/>
                <c:pt idx="0">
                  <c:v>Agroindústria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renda'!$F$27:$F$32</c:f>
              <c:numCache>
                <c:formatCode>#,##0.00</c:formatCode>
                <c:ptCount val="6"/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55-413D-97BD-213B5754C2E1}"/>
            </c:ext>
          </c:extLst>
        </c:ser>
        <c:ser>
          <c:idx val="4"/>
          <c:order val="4"/>
          <c:tx>
            <c:strRef>
              <c:f>'Composição da renda'!$G$26</c:f>
              <c:strCache>
                <c:ptCount val="1"/>
                <c:pt idx="0">
                  <c:v>leite-agroindústria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renda'!$G$27:$G$32</c:f>
              <c:numCache>
                <c:formatCode>#,##0.00</c:formatCode>
                <c:ptCount val="6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55-413D-97BD-213B5754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6117"/>
        <c:axId val="65818895"/>
      </c:scatterChart>
      <c:valAx>
        <c:axId val="11956117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65818895"/>
        <c:crosses val="autoZero"/>
        <c:crossBetween val="midCat"/>
      </c:valAx>
      <c:valAx>
        <c:axId val="6581889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1195611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'Composição da renda'!$C$26</c:f>
              <c:strCache>
                <c:ptCount val="1"/>
                <c:pt idx="0">
                  <c:v>subsistencia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renda'!$C$27:$C$32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8-4C4A-A110-1C88B609E4DE}"/>
            </c:ext>
          </c:extLst>
        </c:ser>
        <c:ser>
          <c:idx val="1"/>
          <c:order val="1"/>
          <c:tx>
            <c:strRef>
              <c:f>'Composição da renda'!$D$26</c:f>
              <c:strCache>
                <c:ptCount val="1"/>
                <c:pt idx="0">
                  <c:v>Gado de corte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renda'!$D$27:$D$32</c:f>
              <c:numCache>
                <c:formatCode>#,##0.00</c:formatCode>
                <c:ptCount val="6"/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38-4C4A-A110-1C88B609E4DE}"/>
            </c:ext>
          </c:extLst>
        </c:ser>
        <c:ser>
          <c:idx val="2"/>
          <c:order val="2"/>
          <c:tx>
            <c:strRef>
              <c:f>'Composição da renda'!$E$26</c:f>
              <c:strCache>
                <c:ptCount val="1"/>
                <c:pt idx="0">
                  <c:v>Leite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renda'!$E$27:$E$32</c:f>
              <c:numCache>
                <c:formatCode>#,##0.00</c:formatCode>
                <c:ptCount val="6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38-4C4A-A110-1C88B609E4DE}"/>
            </c:ext>
          </c:extLst>
        </c:ser>
        <c:ser>
          <c:idx val="3"/>
          <c:order val="3"/>
          <c:tx>
            <c:strRef>
              <c:f>'Composição da renda'!$F$26</c:f>
              <c:strCache>
                <c:ptCount val="1"/>
                <c:pt idx="0">
                  <c:v>Agroindústria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renda'!$F$27:$F$32</c:f>
              <c:numCache>
                <c:formatCode>#,##0.00</c:formatCode>
                <c:ptCount val="6"/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38-4C4A-A110-1C88B609E4DE}"/>
            </c:ext>
          </c:extLst>
        </c:ser>
        <c:ser>
          <c:idx val="4"/>
          <c:order val="4"/>
          <c:tx>
            <c:strRef>
              <c:f>'Composição da renda'!$G$26</c:f>
              <c:strCache>
                <c:ptCount val="1"/>
                <c:pt idx="0">
                  <c:v>leite-agroindústria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'Composição da renda'!$B$27:$B$32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'Composição da renda'!$G$27:$G$32</c:f>
              <c:numCache>
                <c:formatCode>#,##0.00</c:formatCode>
                <c:ptCount val="6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38-4C4A-A110-1C88B609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2059"/>
        <c:axId val="32886651"/>
      </c:scatterChart>
      <c:valAx>
        <c:axId val="93392059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32886651"/>
        <c:crosses val="autoZero"/>
        <c:crossBetween val="midCat"/>
      </c:valAx>
      <c:valAx>
        <c:axId val="3288665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t-BR"/>
          </a:p>
        </c:txPr>
        <c:crossAx val="9339205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113460</xdr:colOff>
      <xdr:row>14</xdr:row>
      <xdr:rowOff>22650</xdr:rowOff>
    </xdr:from>
    <xdr:to>
      <xdr:col>7</xdr:col>
      <xdr:colOff>814740</xdr:colOff>
      <xdr:row>27</xdr:row>
      <xdr:rowOff>138930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55080</xdr:colOff>
      <xdr:row>21</xdr:row>
      <xdr:rowOff>28575</xdr:rowOff>
    </xdr:from>
    <xdr:to>
      <xdr:col>11</xdr:col>
      <xdr:colOff>438150</xdr:colOff>
      <xdr:row>34</xdr:row>
      <xdr:rowOff>2520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361440</xdr:colOff>
      <xdr:row>0</xdr:row>
      <xdr:rowOff>146159</xdr:rowOff>
    </xdr:from>
    <xdr:to>
      <xdr:col>14</xdr:col>
      <xdr:colOff>178560</xdr:colOff>
      <xdr:row>21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24"/>
  <sheetViews>
    <sheetView showGridLines="0" tabSelected="1" topLeftCell="B1" zoomScaleNormal="100" workbookViewId="0">
      <selection activeCell="B9" sqref="B9"/>
    </sheetView>
  </sheetViews>
  <sheetFormatPr defaultColWidth="8.7109375" defaultRowHeight="15" x14ac:dyDescent="0.25"/>
  <cols>
    <col min="1" max="1" width="3.85546875" customWidth="1"/>
    <col min="2" max="2" width="33.5703125" customWidth="1"/>
    <col min="3" max="3" width="15.140625" style="2" customWidth="1"/>
    <col min="4" max="4" width="16.5703125" style="2" customWidth="1"/>
    <col min="5" max="5" width="13.7109375" style="2" customWidth="1"/>
    <col min="6" max="6" width="17.28515625" style="2" customWidth="1"/>
    <col min="7" max="7" width="20.28515625" style="2" customWidth="1"/>
    <col min="8" max="8" width="15" style="2" customWidth="1"/>
    <col min="9" max="9" width="13" style="2" customWidth="1"/>
    <col min="10" max="10" width="14.28515625" style="2" customWidth="1"/>
    <col min="11" max="11" width="9.85546875" style="2" customWidth="1"/>
    <col min="12" max="12" width="10.5703125" customWidth="1"/>
  </cols>
  <sheetData>
    <row r="1" spans="2:12" x14ac:dyDescent="0.25">
      <c r="B1" s="3" t="s">
        <v>188</v>
      </c>
    </row>
    <row r="2" spans="2:12" x14ac:dyDescent="0.25">
      <c r="B2" s="3"/>
    </row>
    <row r="3" spans="2:12" x14ac:dyDescent="0.25">
      <c r="B3" s="4" t="s">
        <v>2</v>
      </c>
    </row>
    <row r="4" spans="2:12" x14ac:dyDescent="0.25">
      <c r="B4" s="4" t="s">
        <v>3</v>
      </c>
    </row>
    <row r="5" spans="2:12" ht="15.75" x14ac:dyDescent="0.25">
      <c r="B5" s="5" t="s">
        <v>4</v>
      </c>
      <c r="D5" s="87" t="s">
        <v>5</v>
      </c>
      <c r="E5" s="88">
        <v>25</v>
      </c>
      <c r="F5" s="89" t="s">
        <v>6</v>
      </c>
      <c r="G5" s="87" t="s">
        <v>7</v>
      </c>
      <c r="H5" s="90">
        <f>J5+1</f>
        <v>3.5</v>
      </c>
      <c r="I5" s="87" t="s">
        <v>8</v>
      </c>
      <c r="J5" s="88">
        <v>2.5</v>
      </c>
      <c r="K5" s="91" t="s">
        <v>9</v>
      </c>
    </row>
    <row r="6" spans="2:12" x14ac:dyDescent="0.25">
      <c r="B6" s="4"/>
    </row>
    <row r="7" spans="2:12" x14ac:dyDescent="0.25">
      <c r="B7" s="3"/>
      <c r="K7" s="2" t="s">
        <v>10</v>
      </c>
      <c r="L7" t="s">
        <v>11</v>
      </c>
    </row>
    <row r="8" spans="2:12" x14ac:dyDescent="0.25">
      <c r="B8" s="103" t="s">
        <v>12</v>
      </c>
      <c r="C8" s="24"/>
      <c r="D8" s="24"/>
      <c r="E8" s="24"/>
      <c r="F8" s="24"/>
      <c r="G8" s="12" t="s">
        <v>13</v>
      </c>
      <c r="H8" s="6" t="s">
        <v>14</v>
      </c>
      <c r="I8"/>
      <c r="J8" s="7" t="str">
        <f>'Composição da renda'!B4</f>
        <v>subsistencia</v>
      </c>
      <c r="K8" s="2">
        <f>'Composição da renda'!I4</f>
        <v>0</v>
      </c>
      <c r="L8">
        <f>(SUM(J21:J24)-D31)/(C23+C24)</f>
        <v>0</v>
      </c>
    </row>
    <row r="9" spans="2:12" x14ac:dyDescent="0.25">
      <c r="B9" s="8" t="s">
        <v>15</v>
      </c>
      <c r="C9" s="9">
        <f>J25</f>
        <v>0</v>
      </c>
      <c r="D9" s="16" t="s">
        <v>16</v>
      </c>
      <c r="E9" s="122"/>
      <c r="F9"/>
      <c r="G9" s="11" t="s">
        <v>17</v>
      </c>
      <c r="H9" s="12">
        <f>C19*0.2</f>
        <v>3.12</v>
      </c>
      <c r="I9"/>
      <c r="J9" s="7" t="str">
        <f>'Composição da renda'!B5</f>
        <v>gado corte</v>
      </c>
      <c r="K9" s="2">
        <f>'Composição da renda'!I5</f>
        <v>0</v>
      </c>
    </row>
    <row r="10" spans="2:12" x14ac:dyDescent="0.25">
      <c r="B10" s="8" t="s">
        <v>18</v>
      </c>
      <c r="C10" s="9">
        <f>G81</f>
        <v>0</v>
      </c>
      <c r="D10" s="10" t="s">
        <v>19</v>
      </c>
      <c r="E10" s="122"/>
      <c r="F10"/>
      <c r="G10" s="11" t="s">
        <v>20</v>
      </c>
      <c r="H10" s="12">
        <f>C19*0.4</f>
        <v>6.24</v>
      </c>
      <c r="I10"/>
      <c r="J10" s="7" t="str">
        <f>'Composição da renda'!B6</f>
        <v>leite-agroind.</v>
      </c>
      <c r="K10" s="2">
        <f>'Composição da renda'!I6</f>
        <v>0</v>
      </c>
      <c r="L10" s="7">
        <f>('Composição da renda'!E6)/C19</f>
        <v>0</v>
      </c>
    </row>
    <row r="11" spans="2:12" x14ac:dyDescent="0.25">
      <c r="B11" s="13" t="s">
        <v>21</v>
      </c>
      <c r="C11" s="14">
        <f>C9-C10</f>
        <v>0</v>
      </c>
      <c r="D11" s="15" t="s">
        <v>22</v>
      </c>
      <c r="E11" s="123"/>
      <c r="F11"/>
      <c r="G11" s="11" t="s">
        <v>23</v>
      </c>
      <c r="H11" s="12">
        <f>C19*0.4</f>
        <v>6.24</v>
      </c>
      <c r="I11"/>
      <c r="J11" s="7" t="str">
        <f>'Composição da renda'!B7</f>
        <v>leite</v>
      </c>
      <c r="K11" s="2">
        <f>'Composição da renda'!I7</f>
        <v>0</v>
      </c>
    </row>
    <row r="12" spans="2:12" x14ac:dyDescent="0.25">
      <c r="B12" s="8" t="s">
        <v>24</v>
      </c>
      <c r="C12" s="9">
        <f>F99</f>
        <v>0</v>
      </c>
      <c r="D12" s="10" t="s">
        <v>25</v>
      </c>
      <c r="E12" s="122"/>
      <c r="F12"/>
      <c r="G12" s="11" t="s">
        <v>26</v>
      </c>
      <c r="H12" s="12">
        <f>SUM(H9:H11)</f>
        <v>15.6</v>
      </c>
      <c r="I12"/>
      <c r="J12" s="7"/>
    </row>
    <row r="13" spans="2:12" x14ac:dyDescent="0.25">
      <c r="B13" s="8" t="s">
        <v>27</v>
      </c>
      <c r="C13" s="9">
        <f>C11-C12</f>
        <v>0</v>
      </c>
      <c r="D13" s="16" t="s">
        <v>28</v>
      </c>
      <c r="E13" s="122"/>
      <c r="F13"/>
      <c r="G13" s="17"/>
      <c r="J13" s="7"/>
    </row>
    <row r="14" spans="2:12" x14ac:dyDescent="0.25">
      <c r="B14" s="8" t="s">
        <v>29</v>
      </c>
      <c r="C14" s="9">
        <f>E106</f>
        <v>0</v>
      </c>
      <c r="D14" s="16" t="s">
        <v>30</v>
      </c>
      <c r="E14" s="122"/>
      <c r="J14" s="7"/>
    </row>
    <row r="15" spans="2:12" x14ac:dyDescent="0.25">
      <c r="B15" s="8" t="s">
        <v>31</v>
      </c>
      <c r="C15" s="18">
        <f>C13-C14</f>
        <v>0</v>
      </c>
      <c r="D15" s="19"/>
      <c r="J15" s="7"/>
    </row>
    <row r="17" spans="2:13" x14ac:dyDescent="0.25">
      <c r="B17" s="34" t="s">
        <v>15</v>
      </c>
      <c r="C17" s="81" t="s">
        <v>32</v>
      </c>
      <c r="D17" s="16" t="s">
        <v>33</v>
      </c>
      <c r="E17" s="16" t="s">
        <v>34</v>
      </c>
      <c r="F17" s="16" t="s">
        <v>35</v>
      </c>
      <c r="G17" s="16" t="s">
        <v>36</v>
      </c>
      <c r="H17" s="16" t="s">
        <v>37</v>
      </c>
      <c r="I17" s="16" t="s">
        <v>38</v>
      </c>
      <c r="J17" s="16" t="s">
        <v>39</v>
      </c>
      <c r="K17"/>
    </row>
    <row r="18" spans="2:13" x14ac:dyDescent="0.25">
      <c r="B18" s="8" t="s">
        <v>40</v>
      </c>
      <c r="C18" s="81"/>
      <c r="D18" s="81">
        <f>D19*F19/10</f>
        <v>18.72</v>
      </c>
      <c r="E18" s="85" t="s">
        <v>41</v>
      </c>
      <c r="F18" s="85">
        <v>10</v>
      </c>
      <c r="G18" s="84" t="s">
        <v>42</v>
      </c>
      <c r="H18" s="85">
        <f>D19*F19/10*365</f>
        <v>6832.7999999999993</v>
      </c>
      <c r="I18" s="28">
        <f>Simulação!P9</f>
        <v>14</v>
      </c>
      <c r="J18" s="124"/>
      <c r="K18"/>
      <c r="M18" s="21"/>
    </row>
    <row r="19" spans="2:13" x14ac:dyDescent="0.25">
      <c r="B19" s="8" t="s">
        <v>43</v>
      </c>
      <c r="C19" s="81">
        <v>15.6</v>
      </c>
      <c r="D19" s="81">
        <f>C19</f>
        <v>15.6</v>
      </c>
      <c r="E19" s="81" t="s">
        <v>44</v>
      </c>
      <c r="F19" s="85">
        <v>12</v>
      </c>
      <c r="G19" s="85" t="s">
        <v>45</v>
      </c>
      <c r="H19" s="85">
        <f>F19*D19*365</f>
        <v>68328</v>
      </c>
      <c r="I19" s="28">
        <f>Simulação!P5</f>
        <v>1</v>
      </c>
      <c r="J19" s="126"/>
      <c r="K19"/>
    </row>
    <row r="20" spans="2:13" x14ac:dyDescent="0.25">
      <c r="B20" s="8" t="s">
        <v>0</v>
      </c>
      <c r="C20" s="81">
        <v>2.1</v>
      </c>
      <c r="D20" s="85">
        <f>2*C20</f>
        <v>4.2</v>
      </c>
      <c r="E20" s="85" t="s">
        <v>46</v>
      </c>
      <c r="F20" s="85">
        <v>400</v>
      </c>
      <c r="G20" s="85" t="s">
        <v>47</v>
      </c>
      <c r="H20" s="85">
        <f>D20*F20</f>
        <v>1680</v>
      </c>
      <c r="I20" s="28">
        <v>3</v>
      </c>
      <c r="J20" s="124"/>
      <c r="K20"/>
    </row>
    <row r="21" spans="2:13" x14ac:dyDescent="0.25">
      <c r="B21" s="8" t="s">
        <v>48</v>
      </c>
      <c r="C21" s="81"/>
      <c r="D21" s="85">
        <f>2*(C23+C24)</f>
        <v>14.6</v>
      </c>
      <c r="E21" s="85" t="s">
        <v>49</v>
      </c>
      <c r="F21" s="85"/>
      <c r="G21" s="85" t="s">
        <v>47</v>
      </c>
      <c r="H21" s="85">
        <f>D21*12</f>
        <v>175.2</v>
      </c>
      <c r="I21" s="28">
        <v>2.5</v>
      </c>
      <c r="J21" s="124"/>
      <c r="K21"/>
    </row>
    <row r="22" spans="2:13" x14ac:dyDescent="0.25">
      <c r="B22" s="8" t="s">
        <v>50</v>
      </c>
      <c r="C22" s="81"/>
      <c r="D22" s="85">
        <f>1.5*(C23+C24)</f>
        <v>10.95</v>
      </c>
      <c r="E22" s="85" t="s">
        <v>51</v>
      </c>
      <c r="F22" s="85"/>
      <c r="G22" s="85" t="s">
        <v>47</v>
      </c>
      <c r="H22" s="85">
        <f>D22*12</f>
        <v>131.39999999999998</v>
      </c>
      <c r="I22" s="28">
        <f>6</f>
        <v>6</v>
      </c>
      <c r="J22" s="124"/>
      <c r="K22"/>
    </row>
    <row r="23" spans="2:13" x14ac:dyDescent="0.25">
      <c r="B23" s="8" t="s">
        <v>1</v>
      </c>
      <c r="C23" s="85">
        <v>4.38</v>
      </c>
      <c r="D23" s="8"/>
      <c r="E23" s="85" t="s">
        <v>6</v>
      </c>
      <c r="F23" s="85">
        <v>10000</v>
      </c>
      <c r="G23" s="85" t="s">
        <v>52</v>
      </c>
      <c r="H23" s="85">
        <f>C23*F23</f>
        <v>43800</v>
      </c>
      <c r="I23" s="28">
        <f>0.45</f>
        <v>0.45</v>
      </c>
      <c r="J23" s="124"/>
      <c r="K23"/>
    </row>
    <row r="24" spans="2:13" x14ac:dyDescent="0.25">
      <c r="B24" s="8" t="s">
        <v>53</v>
      </c>
      <c r="C24" s="85">
        <v>2.92</v>
      </c>
      <c r="D24" s="8"/>
      <c r="E24" s="85" t="s">
        <v>6</v>
      </c>
      <c r="F24" s="85">
        <v>3000</v>
      </c>
      <c r="G24" s="85" t="s">
        <v>52</v>
      </c>
      <c r="H24" s="85">
        <f>C24*F24</f>
        <v>8760</v>
      </c>
      <c r="I24" s="28">
        <v>1</v>
      </c>
      <c r="J24" s="124"/>
      <c r="K24"/>
    </row>
    <row r="25" spans="2:13" x14ac:dyDescent="0.25">
      <c r="B25" s="8" t="s">
        <v>54</v>
      </c>
      <c r="C25" s="81">
        <v>25</v>
      </c>
      <c r="D25" s="16"/>
      <c r="E25" s="16"/>
      <c r="F25" s="16"/>
      <c r="G25" s="16"/>
      <c r="H25" s="16"/>
      <c r="I25" s="33"/>
      <c r="J25" s="125"/>
      <c r="K25"/>
    </row>
    <row r="26" spans="2:13" x14ac:dyDescent="0.25">
      <c r="H26" s="23"/>
      <c r="I26" s="23"/>
      <c r="J26" s="23"/>
    </row>
    <row r="27" spans="2:13" x14ac:dyDescent="0.25">
      <c r="B27" s="3" t="s">
        <v>55</v>
      </c>
      <c r="H27" s="23"/>
      <c r="I27" s="23"/>
      <c r="J27" s="23"/>
    </row>
    <row r="28" spans="2:13" x14ac:dyDescent="0.25">
      <c r="H28" s="23"/>
      <c r="I28" s="23"/>
      <c r="J28" s="23"/>
    </row>
    <row r="29" spans="2:13" x14ac:dyDescent="0.25">
      <c r="B29" s="39" t="s">
        <v>56</v>
      </c>
      <c r="C29" s="92"/>
      <c r="D29" s="93"/>
      <c r="H29" s="23"/>
      <c r="I29" s="23"/>
      <c r="J29" s="23"/>
    </row>
    <row r="30" spans="2:13" x14ac:dyDescent="0.25">
      <c r="B30" s="8" t="s">
        <v>57</v>
      </c>
      <c r="C30" s="12" t="s">
        <v>6</v>
      </c>
      <c r="D30" s="12" t="s">
        <v>26</v>
      </c>
      <c r="H30" s="23"/>
      <c r="I30" s="23"/>
      <c r="J30" s="23"/>
    </row>
    <row r="31" spans="2:13" x14ac:dyDescent="0.25">
      <c r="B31" s="128">
        <v>500</v>
      </c>
      <c r="C31" s="12">
        <f>C23+C24</f>
        <v>7.3</v>
      </c>
      <c r="D31" s="129"/>
      <c r="H31" s="23"/>
      <c r="I31" s="23"/>
      <c r="J31" s="23"/>
    </row>
    <row r="32" spans="2:13" x14ac:dyDescent="0.25">
      <c r="H32" s="23"/>
      <c r="I32" s="23"/>
      <c r="J32" s="23"/>
    </row>
    <row r="33" spans="2:12" x14ac:dyDescent="0.25">
      <c r="B33" s="34"/>
      <c r="C33" s="16" t="s">
        <v>58</v>
      </c>
      <c r="D33" s="16">
        <f>H10</f>
        <v>6.24</v>
      </c>
      <c r="E33" s="16" t="s">
        <v>59</v>
      </c>
      <c r="F33" s="12">
        <f>H11</f>
        <v>6.24</v>
      </c>
      <c r="G33" s="16" t="s">
        <v>60</v>
      </c>
      <c r="H33" s="16">
        <f>H10+H11</f>
        <v>12.48</v>
      </c>
      <c r="I33" s="12" t="s">
        <v>61</v>
      </c>
      <c r="J33" s="33">
        <f>H9</f>
        <v>3.12</v>
      </c>
      <c r="K33" s="23"/>
    </row>
    <row r="34" spans="2:12" x14ac:dyDescent="0.25">
      <c r="B34" s="34" t="s">
        <v>187</v>
      </c>
      <c r="C34" s="16" t="s">
        <v>62</v>
      </c>
      <c r="D34" s="16" t="s">
        <v>63</v>
      </c>
      <c r="E34" s="16" t="s">
        <v>34</v>
      </c>
      <c r="F34" s="16" t="s">
        <v>64</v>
      </c>
      <c r="G34" s="16" t="s">
        <v>65</v>
      </c>
      <c r="H34" s="16" t="s">
        <v>66</v>
      </c>
      <c r="I34" s="24"/>
      <c r="J34" s="23"/>
      <c r="K34" s="23"/>
      <c r="L34" s="25"/>
    </row>
    <row r="35" spans="2:12" x14ac:dyDescent="0.25">
      <c r="B35" s="27" t="s">
        <v>67</v>
      </c>
      <c r="C35" s="19">
        <f>$D$33</f>
        <v>6.24</v>
      </c>
      <c r="D35" s="19">
        <v>6</v>
      </c>
      <c r="E35" s="19" t="s">
        <v>68</v>
      </c>
      <c r="F35" s="19">
        <f>D35*C35</f>
        <v>37.44</v>
      </c>
      <c r="G35" s="28">
        <v>60</v>
      </c>
      <c r="H35" s="124"/>
      <c r="I35" s="26"/>
      <c r="J35"/>
      <c r="K35" s="23"/>
      <c r="L35" s="25"/>
    </row>
    <row r="36" spans="2:12" x14ac:dyDescent="0.25">
      <c r="B36" s="27" t="s">
        <v>69</v>
      </c>
      <c r="C36" s="19">
        <f>D33</f>
        <v>6.24</v>
      </c>
      <c r="D36" s="19">
        <v>6</v>
      </c>
      <c r="E36" s="19" t="s">
        <v>68</v>
      </c>
      <c r="F36" s="19">
        <f>D36*C36</f>
        <v>37.44</v>
      </c>
      <c r="G36" s="28">
        <v>70</v>
      </c>
      <c r="H36" s="124"/>
      <c r="I36" s="26"/>
      <c r="J36"/>
      <c r="K36" s="23"/>
      <c r="L36" s="25"/>
    </row>
    <row r="37" spans="2:12" x14ac:dyDescent="0.25">
      <c r="B37" s="27" t="s">
        <v>70</v>
      </c>
      <c r="C37" s="19">
        <f>F33</f>
        <v>6.24</v>
      </c>
      <c r="D37" s="19">
        <v>80</v>
      </c>
      <c r="E37" s="19" t="s">
        <v>71</v>
      </c>
      <c r="F37" s="19">
        <f>C37*2</f>
        <v>12.48</v>
      </c>
      <c r="G37" s="28">
        <v>2.1</v>
      </c>
      <c r="H37" s="124"/>
      <c r="I37" s="26"/>
      <c r="J37"/>
      <c r="K37" s="23"/>
      <c r="L37" s="25"/>
    </row>
    <row r="38" spans="2:12" x14ac:dyDescent="0.25">
      <c r="B38" s="27" t="s">
        <v>72</v>
      </c>
      <c r="C38" s="19">
        <f>F33</f>
        <v>6.24</v>
      </c>
      <c r="D38" s="19"/>
      <c r="E38" s="19" t="s">
        <v>73</v>
      </c>
      <c r="F38" s="19">
        <f>C38*2</f>
        <v>12.48</v>
      </c>
      <c r="G38" s="28"/>
      <c r="H38" s="124"/>
      <c r="I38" s="26"/>
      <c r="J38"/>
      <c r="K38" s="23"/>
      <c r="L38" s="25"/>
    </row>
    <row r="39" spans="2:12" x14ac:dyDescent="0.25">
      <c r="B39" s="27" t="s">
        <v>74</v>
      </c>
      <c r="C39" s="19">
        <f>F33</f>
        <v>6.24</v>
      </c>
      <c r="D39" s="19">
        <v>3</v>
      </c>
      <c r="E39" s="19" t="s">
        <v>68</v>
      </c>
      <c r="F39" s="19">
        <f t="shared" ref="F39:F46" si="0">D39*C39</f>
        <v>18.72</v>
      </c>
      <c r="G39" s="28">
        <v>60</v>
      </c>
      <c r="H39" s="124"/>
      <c r="I39" s="26"/>
      <c r="J39"/>
      <c r="K39" s="23"/>
      <c r="L39" s="25"/>
    </row>
    <row r="40" spans="2:12" x14ac:dyDescent="0.25">
      <c r="B40" s="27" t="s">
        <v>75</v>
      </c>
      <c r="C40" s="19">
        <f>H33</f>
        <v>12.48</v>
      </c>
      <c r="D40" s="19">
        <v>2</v>
      </c>
      <c r="E40" s="19" t="s">
        <v>68</v>
      </c>
      <c r="F40" s="19">
        <f t="shared" si="0"/>
        <v>24.96</v>
      </c>
      <c r="G40" s="28">
        <v>60</v>
      </c>
      <c r="H40" s="124"/>
      <c r="I40" s="26"/>
      <c r="J40"/>
      <c r="K40" s="23"/>
      <c r="L40" s="25"/>
    </row>
    <row r="41" spans="2:12" x14ac:dyDescent="0.25">
      <c r="B41" s="27" t="s">
        <v>76</v>
      </c>
      <c r="C41" s="19">
        <f>C40</f>
        <v>12.48</v>
      </c>
      <c r="D41" s="19">
        <v>1</v>
      </c>
      <c r="E41" s="19" t="s">
        <v>68</v>
      </c>
      <c r="F41" s="19">
        <f t="shared" si="0"/>
        <v>12.48</v>
      </c>
      <c r="G41" s="28">
        <v>10</v>
      </c>
      <c r="H41" s="124"/>
      <c r="I41" s="26"/>
      <c r="J41"/>
      <c r="K41" s="23"/>
      <c r="L41" s="25"/>
    </row>
    <row r="42" spans="2:12" x14ac:dyDescent="0.25">
      <c r="B42" s="27" t="s">
        <v>77</v>
      </c>
      <c r="C42" s="19">
        <f>F33</f>
        <v>6.24</v>
      </c>
      <c r="D42" s="19">
        <v>6</v>
      </c>
      <c r="E42" s="19" t="s">
        <v>52</v>
      </c>
      <c r="F42" s="19">
        <f t="shared" si="0"/>
        <v>37.44</v>
      </c>
      <c r="G42" s="28">
        <v>1.5</v>
      </c>
      <c r="H42" s="124"/>
      <c r="I42" s="26"/>
      <c r="J42"/>
      <c r="K42" s="23"/>
      <c r="L42" s="25"/>
    </row>
    <row r="43" spans="2:12" x14ac:dyDescent="0.25">
      <c r="B43" s="8" t="s">
        <v>78</v>
      </c>
      <c r="C43" s="12">
        <f>C42</f>
        <v>6.24</v>
      </c>
      <c r="D43" s="12">
        <v>4</v>
      </c>
      <c r="E43" s="19" t="s">
        <v>52</v>
      </c>
      <c r="F43" s="19">
        <f t="shared" si="0"/>
        <v>24.96</v>
      </c>
      <c r="G43" s="81">
        <f>G40/50</f>
        <v>1.2</v>
      </c>
      <c r="H43" s="124"/>
      <c r="I43" s="26"/>
      <c r="J43"/>
      <c r="K43" s="23"/>
      <c r="L43" s="25"/>
    </row>
    <row r="44" spans="2:12" x14ac:dyDescent="0.25">
      <c r="B44" s="27" t="s">
        <v>79</v>
      </c>
      <c r="C44" s="19">
        <f>F33</f>
        <v>6.24</v>
      </c>
      <c r="D44" s="19">
        <v>1</v>
      </c>
      <c r="E44" s="19" t="s">
        <v>68</v>
      </c>
      <c r="F44" s="19">
        <f t="shared" si="0"/>
        <v>6.24</v>
      </c>
      <c r="G44" s="28">
        <v>60</v>
      </c>
      <c r="H44" s="124"/>
      <c r="I44" s="26"/>
      <c r="J44"/>
      <c r="K44" s="23"/>
      <c r="L44" s="25"/>
    </row>
    <row r="45" spans="2:12" x14ac:dyDescent="0.25">
      <c r="B45" s="27" t="s">
        <v>80</v>
      </c>
      <c r="C45" s="19">
        <f>J33</f>
        <v>3.12</v>
      </c>
      <c r="D45" s="19">
        <v>2</v>
      </c>
      <c r="E45" s="19" t="s">
        <v>81</v>
      </c>
      <c r="F45" s="19">
        <f t="shared" si="0"/>
        <v>6.24</v>
      </c>
      <c r="G45" s="28">
        <v>1.2</v>
      </c>
      <c r="H45" s="124"/>
      <c r="I45" s="26"/>
      <c r="J45"/>
      <c r="K45" s="23"/>
      <c r="L45" s="25"/>
    </row>
    <row r="46" spans="2:12" x14ac:dyDescent="0.25">
      <c r="B46" s="27" t="s">
        <v>82</v>
      </c>
      <c r="C46" s="19">
        <f>C45</f>
        <v>3.12</v>
      </c>
      <c r="D46" s="19">
        <v>2</v>
      </c>
      <c r="E46" s="19" t="s">
        <v>81</v>
      </c>
      <c r="F46" s="19">
        <f t="shared" si="0"/>
        <v>6.24</v>
      </c>
      <c r="G46" s="28">
        <v>1.2</v>
      </c>
      <c r="H46" s="124"/>
      <c r="I46" s="26"/>
      <c r="J46"/>
      <c r="K46" s="23"/>
      <c r="L46" s="25"/>
    </row>
    <row r="47" spans="2:12" x14ac:dyDescent="0.25">
      <c r="B47" s="29" t="s">
        <v>83</v>
      </c>
      <c r="C47" s="9"/>
      <c r="D47" s="9"/>
      <c r="E47" s="9"/>
      <c r="F47" s="9"/>
      <c r="G47" s="30"/>
      <c r="H47" s="30">
        <f>SUM(H35:H46)</f>
        <v>0</v>
      </c>
      <c r="I47" s="26"/>
      <c r="J47"/>
      <c r="K47" s="23"/>
      <c r="L47" s="25"/>
    </row>
    <row r="48" spans="2:12" x14ac:dyDescent="0.25">
      <c r="B48" s="29" t="s">
        <v>186</v>
      </c>
      <c r="C48" s="19"/>
      <c r="D48" s="19" t="s">
        <v>84</v>
      </c>
      <c r="E48" s="16" t="s">
        <v>34</v>
      </c>
      <c r="F48" s="16" t="s">
        <v>64</v>
      </c>
      <c r="G48" s="16" t="s">
        <v>65</v>
      </c>
      <c r="H48" s="16" t="s">
        <v>66</v>
      </c>
      <c r="I48" s="26"/>
      <c r="J48"/>
      <c r="K48" s="23"/>
      <c r="L48" s="25"/>
    </row>
    <row r="49" spans="2:12" x14ac:dyDescent="0.25">
      <c r="B49" s="27" t="s">
        <v>85</v>
      </c>
      <c r="C49" s="19">
        <f>D19</f>
        <v>15.6</v>
      </c>
      <c r="D49" s="19">
        <v>2</v>
      </c>
      <c r="E49" s="19" t="s">
        <v>86</v>
      </c>
      <c r="F49" s="19">
        <f>D49*C49</f>
        <v>31.2</v>
      </c>
      <c r="G49" s="28">
        <v>20</v>
      </c>
      <c r="H49" s="124"/>
      <c r="I49" s="26"/>
      <c r="J49"/>
      <c r="K49" s="23"/>
      <c r="L49" s="25"/>
    </row>
    <row r="50" spans="2:12" x14ac:dyDescent="0.25">
      <c r="B50" s="27" t="s">
        <v>87</v>
      </c>
      <c r="C50" s="19">
        <f>C49</f>
        <v>15.6</v>
      </c>
      <c r="D50" s="19">
        <f>360</f>
        <v>360</v>
      </c>
      <c r="E50" s="19" t="s">
        <v>88</v>
      </c>
      <c r="F50" s="19">
        <f>C50*D50</f>
        <v>5616</v>
      </c>
      <c r="G50" s="28">
        <v>0.45</v>
      </c>
      <c r="H50" s="124"/>
      <c r="I50" s="26"/>
      <c r="J50"/>
      <c r="K50" s="23"/>
      <c r="L50" s="25"/>
    </row>
    <row r="51" spans="2:12" x14ac:dyDescent="0.25">
      <c r="B51" s="27" t="s">
        <v>89</v>
      </c>
      <c r="C51" s="19"/>
      <c r="D51" s="19">
        <f>200/20*D19</f>
        <v>156</v>
      </c>
      <c r="E51" s="19" t="s">
        <v>90</v>
      </c>
      <c r="F51" s="19"/>
      <c r="G51" s="28"/>
      <c r="H51" s="124"/>
      <c r="I51" s="26"/>
      <c r="J51"/>
      <c r="K51" s="23"/>
      <c r="L51" s="25"/>
    </row>
    <row r="52" spans="2:12" x14ac:dyDescent="0.25">
      <c r="B52" s="27" t="s">
        <v>91</v>
      </c>
      <c r="C52" s="19"/>
      <c r="D52" s="19">
        <f>3/16*D19</f>
        <v>2.9249999999999998</v>
      </c>
      <c r="E52" s="19" t="s">
        <v>92</v>
      </c>
      <c r="F52" s="19">
        <f>D52*12</f>
        <v>35.099999999999994</v>
      </c>
      <c r="G52" s="28">
        <v>53</v>
      </c>
      <c r="H52" s="124"/>
      <c r="I52" s="26"/>
      <c r="J52"/>
      <c r="K52" s="23"/>
      <c r="L52" s="25"/>
    </row>
    <row r="53" spans="2:12" x14ac:dyDescent="0.25">
      <c r="B53" s="27" t="s">
        <v>93</v>
      </c>
      <c r="C53" s="19"/>
      <c r="D53" s="19">
        <f>15/16*D19</f>
        <v>14.625</v>
      </c>
      <c r="E53" s="19" t="s">
        <v>92</v>
      </c>
      <c r="F53" s="19">
        <f>D53*12</f>
        <v>175.5</v>
      </c>
      <c r="G53" s="28">
        <v>14</v>
      </c>
      <c r="H53" s="124"/>
      <c r="I53" s="26"/>
      <c r="J53"/>
      <c r="K53" s="23"/>
      <c r="L53" s="25"/>
    </row>
    <row r="54" spans="2:12" x14ac:dyDescent="0.25">
      <c r="B54" s="29" t="s">
        <v>83</v>
      </c>
      <c r="C54" s="9"/>
      <c r="D54" s="9"/>
      <c r="E54" s="9"/>
      <c r="F54" s="9"/>
      <c r="G54" s="30"/>
      <c r="H54" s="30">
        <f>SUM(H49:H53)</f>
        <v>0</v>
      </c>
      <c r="I54" s="26"/>
      <c r="J54"/>
      <c r="K54" s="23"/>
      <c r="L54" s="25"/>
    </row>
    <row r="55" spans="2:12" x14ac:dyDescent="0.25">
      <c r="B55" s="29" t="s">
        <v>26</v>
      </c>
      <c r="C55" s="19"/>
      <c r="D55" s="19"/>
      <c r="E55" s="19"/>
      <c r="F55" s="19"/>
      <c r="G55" s="28"/>
      <c r="H55" s="30">
        <f>H47+H54</f>
        <v>0</v>
      </c>
      <c r="I55" s="26"/>
      <c r="J55"/>
      <c r="K55" s="23"/>
      <c r="L55" s="25"/>
    </row>
    <row r="56" spans="2:12" x14ac:dyDescent="0.25">
      <c r="B56" s="31"/>
      <c r="C56" s="17"/>
      <c r="D56" s="17"/>
      <c r="E56" s="17"/>
      <c r="F56" s="17"/>
      <c r="G56" s="26"/>
      <c r="H56" s="26"/>
      <c r="I56" s="26"/>
      <c r="J56"/>
      <c r="K56" s="23"/>
      <c r="L56" s="25"/>
    </row>
    <row r="57" spans="2:12" x14ac:dyDescent="0.25">
      <c r="B57" s="29" t="s">
        <v>94</v>
      </c>
      <c r="C57" s="85" t="s">
        <v>61</v>
      </c>
      <c r="D57" s="85">
        <f>C20</f>
        <v>2.1</v>
      </c>
      <c r="E57" s="9"/>
      <c r="F57" s="9"/>
      <c r="G57" s="30"/>
      <c r="H57" s="30"/>
      <c r="I57" s="26"/>
      <c r="J57"/>
      <c r="K57" s="23"/>
      <c r="L57" s="25"/>
    </row>
    <row r="58" spans="2:12" x14ac:dyDescent="0.25">
      <c r="B58" s="29"/>
      <c r="C58" s="85" t="s">
        <v>95</v>
      </c>
      <c r="D58" s="85" t="s">
        <v>84</v>
      </c>
      <c r="E58" s="9"/>
      <c r="F58" s="9"/>
      <c r="G58" s="30"/>
      <c r="H58" s="30"/>
      <c r="I58" s="26"/>
      <c r="J58"/>
      <c r="K58" s="23"/>
      <c r="L58" s="25"/>
    </row>
    <row r="59" spans="2:12" x14ac:dyDescent="0.25">
      <c r="B59" s="27" t="s">
        <v>80</v>
      </c>
      <c r="C59" s="19">
        <f>D57</f>
        <v>2.1</v>
      </c>
      <c r="D59" s="19">
        <v>2</v>
      </c>
      <c r="E59" s="19" t="s">
        <v>52</v>
      </c>
      <c r="F59" s="19">
        <f>D59*C59</f>
        <v>4.2</v>
      </c>
      <c r="G59" s="28">
        <v>1.2</v>
      </c>
      <c r="H59" s="124"/>
      <c r="I59" s="26"/>
      <c r="J59"/>
      <c r="K59" s="23"/>
      <c r="L59" s="25"/>
    </row>
    <row r="60" spans="2:12" x14ac:dyDescent="0.25">
      <c r="B60" s="27" t="s">
        <v>82</v>
      </c>
      <c r="C60" s="19">
        <f>D57</f>
        <v>2.1</v>
      </c>
      <c r="D60" s="19">
        <v>2</v>
      </c>
      <c r="E60" s="19" t="s">
        <v>81</v>
      </c>
      <c r="F60" s="19">
        <f>D60*C60</f>
        <v>4.2</v>
      </c>
      <c r="G60" s="28">
        <v>1.2</v>
      </c>
      <c r="H60" s="124"/>
      <c r="I60" s="26"/>
      <c r="J60"/>
      <c r="K60" s="23"/>
      <c r="L60" s="25"/>
    </row>
    <row r="61" spans="2:12" x14ac:dyDescent="0.25">
      <c r="B61" s="27" t="s">
        <v>85</v>
      </c>
      <c r="C61" s="19">
        <f>D57</f>
        <v>2.1</v>
      </c>
      <c r="D61" s="19">
        <v>2</v>
      </c>
      <c r="E61" s="19" t="s">
        <v>86</v>
      </c>
      <c r="F61" s="19">
        <f>D61*C61</f>
        <v>4.2</v>
      </c>
      <c r="G61" s="28">
        <v>20</v>
      </c>
      <c r="H61" s="124"/>
      <c r="I61" s="26"/>
      <c r="J61"/>
      <c r="K61" s="23"/>
      <c r="L61" s="25"/>
    </row>
    <row r="62" spans="2:12" x14ac:dyDescent="0.25">
      <c r="B62" s="27" t="s">
        <v>87</v>
      </c>
      <c r="C62" s="19"/>
      <c r="D62" s="19">
        <f>100/2*D20</f>
        <v>210</v>
      </c>
      <c r="E62" s="19" t="s">
        <v>96</v>
      </c>
      <c r="F62" s="19">
        <f>D62</f>
        <v>210</v>
      </c>
      <c r="G62" s="28">
        <v>0.45</v>
      </c>
      <c r="H62" s="124"/>
      <c r="I62" s="26"/>
      <c r="J62"/>
      <c r="K62" s="23"/>
      <c r="L62" s="25"/>
    </row>
    <row r="63" spans="2:12" x14ac:dyDescent="0.25">
      <c r="B63" s="27" t="s">
        <v>89</v>
      </c>
      <c r="C63" s="19"/>
      <c r="D63" s="19">
        <f>30/2*D20</f>
        <v>63</v>
      </c>
      <c r="E63" s="19" t="s">
        <v>90</v>
      </c>
      <c r="F63" s="19"/>
      <c r="G63" s="28"/>
      <c r="H63" s="124"/>
      <c r="I63" s="26"/>
      <c r="J63"/>
      <c r="K63" s="23"/>
      <c r="L63" s="25"/>
    </row>
    <row r="64" spans="2:12" x14ac:dyDescent="0.25">
      <c r="B64" s="27" t="s">
        <v>91</v>
      </c>
      <c r="C64" s="19"/>
      <c r="D64" s="19">
        <f>1/2*D20</f>
        <v>2.1</v>
      </c>
      <c r="E64" s="19" t="s">
        <v>92</v>
      </c>
      <c r="F64" s="19">
        <f>D64*12</f>
        <v>25.200000000000003</v>
      </c>
      <c r="G64" s="28">
        <v>53</v>
      </c>
      <c r="H64" s="124"/>
      <c r="I64" s="26"/>
      <c r="J64"/>
      <c r="K64" s="23"/>
      <c r="L64" s="25"/>
    </row>
    <row r="65" spans="2:12" x14ac:dyDescent="0.25">
      <c r="B65" s="27" t="s">
        <v>93</v>
      </c>
      <c r="C65" s="19"/>
      <c r="D65" s="19">
        <f>3/2*D20</f>
        <v>6.3000000000000007</v>
      </c>
      <c r="E65" s="19" t="s">
        <v>92</v>
      </c>
      <c r="F65" s="19">
        <f>D65*12</f>
        <v>75.600000000000009</v>
      </c>
      <c r="G65" s="28">
        <v>14</v>
      </c>
      <c r="H65" s="124"/>
      <c r="I65" s="26"/>
      <c r="J65"/>
      <c r="K65" s="23"/>
      <c r="L65" s="25"/>
    </row>
    <row r="66" spans="2:12" x14ac:dyDescent="0.25">
      <c r="B66" s="29" t="s">
        <v>26</v>
      </c>
      <c r="C66" s="9"/>
      <c r="D66" s="9"/>
      <c r="E66" s="9"/>
      <c r="F66" s="9"/>
      <c r="G66" s="30"/>
      <c r="H66" s="30">
        <f>SUM(H59:H65)</f>
        <v>0</v>
      </c>
      <c r="I66" s="26"/>
      <c r="J66"/>
      <c r="K66" s="23"/>
      <c r="L66" s="25"/>
    </row>
    <row r="67" spans="2:12" x14ac:dyDescent="0.25">
      <c r="B67" s="32"/>
      <c r="C67" s="17"/>
      <c r="D67" s="17"/>
      <c r="E67" s="17"/>
      <c r="F67" s="17"/>
      <c r="G67" s="26"/>
      <c r="H67" s="26"/>
      <c r="I67" s="26"/>
      <c r="J67" s="23"/>
      <c r="K67" s="23"/>
      <c r="L67" s="25"/>
    </row>
    <row r="68" spans="2:12" x14ac:dyDescent="0.25">
      <c r="B68" s="94" t="s">
        <v>97</v>
      </c>
      <c r="C68" s="88"/>
      <c r="D68" s="88"/>
      <c r="E68" s="88"/>
      <c r="F68" s="88"/>
      <c r="G68" s="95"/>
      <c r="H68" s="26"/>
      <c r="I68" s="26"/>
      <c r="J68" s="23"/>
      <c r="K68" s="23"/>
      <c r="L68" s="25"/>
    </row>
    <row r="69" spans="2:12" x14ac:dyDescent="0.25">
      <c r="B69" s="27" t="s">
        <v>98</v>
      </c>
      <c r="C69" s="16" t="s">
        <v>99</v>
      </c>
      <c r="D69" s="16" t="s">
        <v>34</v>
      </c>
      <c r="E69" s="16" t="s">
        <v>66</v>
      </c>
      <c r="F69" s="16" t="s">
        <v>65</v>
      </c>
      <c r="G69" s="16" t="s">
        <v>66</v>
      </c>
      <c r="H69"/>
      <c r="I69" s="26"/>
      <c r="J69" s="23"/>
      <c r="K69" s="23"/>
      <c r="L69" s="25"/>
    </row>
    <row r="70" spans="2:12" x14ac:dyDescent="0.25">
      <c r="B70" s="27" t="s">
        <v>100</v>
      </c>
      <c r="C70" s="19">
        <f>220/20*D18</f>
        <v>205.92</v>
      </c>
      <c r="D70" s="19" t="s">
        <v>101</v>
      </c>
      <c r="E70" s="19">
        <f>C70*365</f>
        <v>75160.799999999988</v>
      </c>
      <c r="F70" s="28">
        <v>0.02</v>
      </c>
      <c r="G70" s="124"/>
      <c r="H70"/>
      <c r="I70" s="26"/>
      <c r="J70" s="23"/>
      <c r="K70" s="23"/>
      <c r="L70" s="25"/>
    </row>
    <row r="71" spans="2:12" x14ac:dyDescent="0.25">
      <c r="B71" s="27" t="s">
        <v>102</v>
      </c>
      <c r="C71" s="19">
        <f>5/20*D18</f>
        <v>4.68</v>
      </c>
      <c r="D71" s="19" t="s">
        <v>41</v>
      </c>
      <c r="E71" s="19">
        <f>C71*365</f>
        <v>1708.1999999999998</v>
      </c>
      <c r="F71" s="28">
        <v>1.1000000000000001</v>
      </c>
      <c r="G71" s="124"/>
      <c r="H71"/>
      <c r="I71" s="26"/>
      <c r="J71" s="23"/>
      <c r="K71" s="23"/>
      <c r="L71" s="25"/>
    </row>
    <row r="72" spans="2:12" x14ac:dyDescent="0.25">
      <c r="B72" s="27" t="s">
        <v>103</v>
      </c>
      <c r="C72" s="19">
        <f>0.75/20*D18</f>
        <v>0.70199999999999996</v>
      </c>
      <c r="D72" s="19" t="s">
        <v>104</v>
      </c>
      <c r="E72" s="19">
        <f>C72*365</f>
        <v>256.22999999999996</v>
      </c>
      <c r="F72" s="28">
        <v>4</v>
      </c>
      <c r="G72" s="124"/>
      <c r="H72"/>
      <c r="I72" s="26"/>
      <c r="J72" s="23"/>
      <c r="K72" s="23"/>
      <c r="L72" s="25"/>
    </row>
    <row r="73" spans="2:12" x14ac:dyDescent="0.25">
      <c r="B73" s="27" t="s">
        <v>105</v>
      </c>
      <c r="C73" s="19">
        <f>3/20*D18</f>
        <v>2.8079999999999998</v>
      </c>
      <c r="D73" s="19" t="s">
        <v>106</v>
      </c>
      <c r="E73" s="19">
        <f>C73*12</f>
        <v>33.695999999999998</v>
      </c>
      <c r="F73" s="28">
        <v>40</v>
      </c>
      <c r="G73" s="124"/>
      <c r="H73"/>
      <c r="I73" s="26"/>
      <c r="J73" s="23"/>
      <c r="K73" s="23"/>
      <c r="L73" s="25"/>
    </row>
    <row r="74" spans="2:12" x14ac:dyDescent="0.25">
      <c r="B74" s="27" t="s">
        <v>107</v>
      </c>
      <c r="C74" s="19">
        <f>D18*1.5</f>
        <v>28.08</v>
      </c>
      <c r="D74" s="19" t="s">
        <v>108</v>
      </c>
      <c r="E74" s="19">
        <f>C74*365</f>
        <v>10249.199999999999</v>
      </c>
      <c r="F74" s="28">
        <f>0.08</f>
        <v>0.08</v>
      </c>
      <c r="G74" s="124"/>
      <c r="H74"/>
      <c r="I74" s="26"/>
      <c r="J74" s="23"/>
      <c r="K74" s="23"/>
      <c r="L74" s="25"/>
    </row>
    <row r="75" spans="2:12" x14ac:dyDescent="0.25">
      <c r="B75" s="27" t="s">
        <v>109</v>
      </c>
      <c r="C75" s="19">
        <f>D18</f>
        <v>18.72</v>
      </c>
      <c r="D75" s="19" t="s">
        <v>110</v>
      </c>
      <c r="E75" s="19">
        <f>C75*365</f>
        <v>6832.7999999999993</v>
      </c>
      <c r="F75" s="28">
        <v>7.0000000000000007E-2</v>
      </c>
      <c r="G75" s="124"/>
      <c r="H75"/>
      <c r="I75" s="26"/>
      <c r="J75" s="23"/>
      <c r="K75" s="23"/>
      <c r="L75" s="25"/>
    </row>
    <row r="76" spans="2:12" x14ac:dyDescent="0.25">
      <c r="B76" s="27" t="s">
        <v>111</v>
      </c>
      <c r="C76" s="19"/>
      <c r="D76" s="19"/>
      <c r="E76" s="19"/>
      <c r="F76" s="28"/>
      <c r="G76" s="124"/>
      <c r="H76"/>
      <c r="I76" s="26"/>
      <c r="J76" s="23"/>
      <c r="K76" s="23"/>
      <c r="L76" s="25"/>
    </row>
    <row r="77" spans="2:12" x14ac:dyDescent="0.25">
      <c r="B77" s="27" t="s">
        <v>112</v>
      </c>
      <c r="C77" s="19"/>
      <c r="D77" s="19"/>
      <c r="E77" s="19"/>
      <c r="F77" s="28"/>
      <c r="G77" s="124"/>
      <c r="H77"/>
      <c r="I77" s="26"/>
      <c r="J77" s="23"/>
      <c r="K77" s="23"/>
      <c r="L77" s="25"/>
    </row>
    <row r="78" spans="2:12" x14ac:dyDescent="0.25">
      <c r="B78" s="8" t="s">
        <v>113</v>
      </c>
      <c r="C78" s="10">
        <f>400/20*D18</f>
        <v>374.4</v>
      </c>
      <c r="D78" s="16" t="s">
        <v>106</v>
      </c>
      <c r="E78" s="16"/>
      <c r="F78" s="33"/>
      <c r="G78" s="127"/>
      <c r="H78"/>
      <c r="I78" s="23"/>
      <c r="J78" s="23"/>
      <c r="K78" s="23"/>
      <c r="L78" s="25"/>
    </row>
    <row r="79" spans="2:12" x14ac:dyDescent="0.25">
      <c r="B79" s="34" t="s">
        <v>54</v>
      </c>
      <c r="C79" s="10"/>
      <c r="D79" s="10"/>
      <c r="E79" s="10"/>
      <c r="F79" s="10"/>
      <c r="G79" s="35">
        <f>SUM(G70:G78)</f>
        <v>0</v>
      </c>
      <c r="H79"/>
      <c r="I79" s="36"/>
      <c r="J79" s="23"/>
      <c r="K79" s="23"/>
      <c r="L79" s="25"/>
    </row>
    <row r="80" spans="2:12" x14ac:dyDescent="0.25">
      <c r="B80" s="37"/>
      <c r="C80" s="24"/>
      <c r="D80" s="24"/>
      <c r="E80" s="24"/>
      <c r="F80" s="24"/>
      <c r="G80" s="24"/>
      <c r="H80" s="38"/>
      <c r="I80" s="36"/>
      <c r="J80" s="23"/>
      <c r="K80" s="23"/>
      <c r="L80" s="25"/>
    </row>
    <row r="81" spans="2:11" x14ac:dyDescent="0.25">
      <c r="B81" s="39" t="s">
        <v>114</v>
      </c>
      <c r="C81" s="40"/>
      <c r="D81" s="40"/>
      <c r="E81" s="40"/>
      <c r="F81" s="41"/>
      <c r="G81" s="42">
        <f>H55+G79+H66+D31</f>
        <v>0</v>
      </c>
      <c r="H81"/>
      <c r="I81" s="23"/>
      <c r="J81" s="23"/>
    </row>
    <row r="82" spans="2:11" s="43" customFormat="1" x14ac:dyDescent="0.25">
      <c r="C82" s="44"/>
      <c r="D82" s="44"/>
      <c r="E82" s="44"/>
      <c r="F82" s="44"/>
      <c r="G82" s="44"/>
      <c r="H82" s="45"/>
      <c r="I82" s="45"/>
      <c r="J82" s="45"/>
      <c r="K82" s="44"/>
    </row>
    <row r="83" spans="2:11" s="46" customFormat="1" x14ac:dyDescent="0.25">
      <c r="B83" s="96" t="s">
        <v>24</v>
      </c>
      <c r="C83" s="97" t="s">
        <v>115</v>
      </c>
      <c r="D83" s="97" t="s">
        <v>116</v>
      </c>
      <c r="E83" s="97" t="s">
        <v>117</v>
      </c>
      <c r="F83" s="97" t="s">
        <v>118</v>
      </c>
      <c r="G83" s="97"/>
      <c r="H83" s="47"/>
      <c r="I83" s="48"/>
      <c r="J83" s="47"/>
      <c r="K83" s="48"/>
    </row>
    <row r="84" spans="2:11" s="46" customFormat="1" x14ac:dyDescent="0.25">
      <c r="B84" s="98" t="s">
        <v>119</v>
      </c>
      <c r="C84" s="99">
        <v>4000</v>
      </c>
      <c r="D84" s="97">
        <f t="shared" ref="D84:D92" si="1">C84*0.1</f>
        <v>400</v>
      </c>
      <c r="E84" s="97">
        <v>15</v>
      </c>
      <c r="F84" s="130"/>
      <c r="G84" s="99" t="s">
        <v>120</v>
      </c>
      <c r="H84" s="47"/>
      <c r="I84" s="47"/>
      <c r="J84" s="47"/>
      <c r="K84" s="48"/>
    </row>
    <row r="85" spans="2:11" s="46" customFormat="1" x14ac:dyDescent="0.25">
      <c r="B85" s="98" t="s">
        <v>121</v>
      </c>
      <c r="C85" s="99">
        <v>5000</v>
      </c>
      <c r="D85" s="97">
        <f t="shared" si="1"/>
        <v>500</v>
      </c>
      <c r="E85" s="97">
        <v>15</v>
      </c>
      <c r="F85" s="130"/>
      <c r="G85" s="99" t="s">
        <v>120</v>
      </c>
      <c r="H85" s="47"/>
      <c r="I85" s="47"/>
      <c r="J85" s="47"/>
      <c r="K85" s="48"/>
    </row>
    <row r="86" spans="2:11" s="46" customFormat="1" x14ac:dyDescent="0.25">
      <c r="B86" s="98" t="s">
        <v>122</v>
      </c>
      <c r="C86" s="99">
        <v>6000</v>
      </c>
      <c r="D86" s="97">
        <f t="shared" si="1"/>
        <v>600</v>
      </c>
      <c r="E86" s="97">
        <v>15</v>
      </c>
      <c r="F86" s="130"/>
      <c r="G86" s="99" t="s">
        <v>123</v>
      </c>
      <c r="H86" s="47"/>
      <c r="I86" s="47"/>
      <c r="J86" s="47"/>
      <c r="K86" s="48"/>
    </row>
    <row r="87" spans="2:11" s="46" customFormat="1" x14ac:dyDescent="0.25">
      <c r="B87" s="98" t="s">
        <v>124</v>
      </c>
      <c r="C87" s="99">
        <v>3000</v>
      </c>
      <c r="D87" s="97">
        <f t="shared" si="1"/>
        <v>300</v>
      </c>
      <c r="E87" s="97">
        <v>15</v>
      </c>
      <c r="F87" s="130"/>
      <c r="G87" s="99" t="s">
        <v>120</v>
      </c>
      <c r="H87" s="47"/>
      <c r="I87" s="47"/>
      <c r="J87" s="47"/>
      <c r="K87" s="48"/>
    </row>
    <row r="88" spans="2:11" s="46" customFormat="1" x14ac:dyDescent="0.25">
      <c r="B88" s="98" t="s">
        <v>125</v>
      </c>
      <c r="C88" s="99">
        <v>4500</v>
      </c>
      <c r="D88" s="97">
        <f t="shared" si="1"/>
        <v>450</v>
      </c>
      <c r="E88" s="97">
        <v>15</v>
      </c>
      <c r="F88" s="130"/>
      <c r="G88" s="99" t="s">
        <v>123</v>
      </c>
      <c r="H88" s="47"/>
      <c r="I88" s="47"/>
      <c r="J88" s="47"/>
      <c r="K88" s="48"/>
    </row>
    <row r="89" spans="2:11" s="46" customFormat="1" x14ac:dyDescent="0.25">
      <c r="B89" s="98" t="s">
        <v>126</v>
      </c>
      <c r="C89" s="99">
        <v>13000</v>
      </c>
      <c r="D89" s="97">
        <f t="shared" si="1"/>
        <v>1300</v>
      </c>
      <c r="E89" s="97">
        <v>15</v>
      </c>
      <c r="F89" s="130"/>
      <c r="G89" s="99"/>
      <c r="H89" s="47"/>
      <c r="I89" s="47"/>
      <c r="J89" s="47"/>
      <c r="K89" s="48"/>
    </row>
    <row r="90" spans="2:11" s="46" customFormat="1" x14ac:dyDescent="0.25">
      <c r="B90" s="98" t="s">
        <v>127</v>
      </c>
      <c r="C90" s="99">
        <v>1200</v>
      </c>
      <c r="D90" s="97">
        <f t="shared" si="1"/>
        <v>120</v>
      </c>
      <c r="E90" s="97">
        <v>15</v>
      </c>
      <c r="F90" s="130"/>
      <c r="G90" s="99"/>
      <c r="H90" s="47"/>
      <c r="I90" s="47"/>
      <c r="J90" s="47"/>
      <c r="K90" s="48"/>
    </row>
    <row r="91" spans="2:11" s="46" customFormat="1" x14ac:dyDescent="0.25">
      <c r="B91" s="98" t="s">
        <v>128</v>
      </c>
      <c r="C91" s="99">
        <v>5000</v>
      </c>
      <c r="D91" s="97">
        <f t="shared" si="1"/>
        <v>500</v>
      </c>
      <c r="E91" s="97">
        <v>15</v>
      </c>
      <c r="F91" s="130"/>
      <c r="G91" s="99"/>
      <c r="H91" s="47"/>
      <c r="I91" s="47"/>
      <c r="J91" s="47"/>
      <c r="K91" s="48"/>
    </row>
    <row r="92" spans="2:11" s="46" customFormat="1" x14ac:dyDescent="0.25">
      <c r="B92" s="98" t="s">
        <v>129</v>
      </c>
      <c r="C92" s="99">
        <v>2000</v>
      </c>
      <c r="D92" s="97">
        <f t="shared" si="1"/>
        <v>200</v>
      </c>
      <c r="E92" s="97">
        <v>30</v>
      </c>
      <c r="F92" s="130"/>
      <c r="G92" s="99"/>
      <c r="H92" s="47"/>
      <c r="I92" s="47"/>
      <c r="J92" s="47"/>
      <c r="K92" s="48"/>
    </row>
    <row r="93" spans="2:11" s="46" customFormat="1" x14ac:dyDescent="0.25">
      <c r="B93" s="98" t="s">
        <v>130</v>
      </c>
      <c r="C93" s="99">
        <v>5000</v>
      </c>
      <c r="D93" s="97">
        <v>300</v>
      </c>
      <c r="E93" s="97">
        <v>15</v>
      </c>
      <c r="F93" s="130"/>
      <c r="G93" s="99"/>
      <c r="H93" s="47"/>
      <c r="I93" s="47"/>
      <c r="J93" s="48"/>
      <c r="K93" s="48"/>
    </row>
    <row r="94" spans="2:11" s="46" customFormat="1" x14ac:dyDescent="0.25">
      <c r="B94" s="98" t="s">
        <v>131</v>
      </c>
      <c r="C94" s="99">
        <v>15000</v>
      </c>
      <c r="D94" s="97">
        <v>2000</v>
      </c>
      <c r="E94" s="97">
        <v>20</v>
      </c>
      <c r="F94" s="130"/>
      <c r="G94" s="99" t="s">
        <v>120</v>
      </c>
      <c r="H94" s="47"/>
      <c r="I94" s="47"/>
      <c r="J94" s="47"/>
      <c r="K94" s="48"/>
    </row>
    <row r="95" spans="2:11" s="46" customFormat="1" x14ac:dyDescent="0.25">
      <c r="B95" s="98" t="s">
        <v>132</v>
      </c>
      <c r="C95" s="99">
        <v>8000</v>
      </c>
      <c r="D95" s="97">
        <f>C95*0.1</f>
        <v>800</v>
      </c>
      <c r="E95" s="97">
        <v>30</v>
      </c>
      <c r="F95" s="130"/>
      <c r="G95" s="99"/>
      <c r="H95" s="47"/>
      <c r="I95" s="47"/>
      <c r="J95" s="47"/>
      <c r="K95" s="48"/>
    </row>
    <row r="96" spans="2:11" s="46" customFormat="1" x14ac:dyDescent="0.25">
      <c r="B96" s="98" t="s">
        <v>133</v>
      </c>
      <c r="C96" s="99">
        <f>20000</f>
        <v>20000</v>
      </c>
      <c r="D96" s="97">
        <f>C96*0.1</f>
        <v>2000</v>
      </c>
      <c r="E96" s="97">
        <v>25</v>
      </c>
      <c r="F96" s="130"/>
      <c r="G96" s="99" t="s">
        <v>123</v>
      </c>
      <c r="H96" s="47"/>
      <c r="I96" s="47"/>
      <c r="J96" s="47"/>
      <c r="K96" s="48"/>
    </row>
    <row r="97" spans="2:11" s="46" customFormat="1" x14ac:dyDescent="0.25">
      <c r="B97" s="98" t="s">
        <v>134</v>
      </c>
      <c r="C97" s="99">
        <v>8000</v>
      </c>
      <c r="D97" s="97">
        <v>0</v>
      </c>
      <c r="E97" s="97">
        <v>30</v>
      </c>
      <c r="F97" s="130"/>
      <c r="G97" s="99"/>
      <c r="H97" s="47"/>
      <c r="I97" s="47"/>
      <c r="J97" s="47"/>
      <c r="K97" s="48"/>
    </row>
    <row r="98" spans="2:11" s="46" customFormat="1" x14ac:dyDescent="0.25">
      <c r="B98" s="98" t="s">
        <v>135</v>
      </c>
      <c r="C98" s="99">
        <v>60000</v>
      </c>
      <c r="D98" s="97">
        <v>12000</v>
      </c>
      <c r="E98" s="97">
        <v>30</v>
      </c>
      <c r="F98" s="130"/>
      <c r="G98" s="99"/>
      <c r="H98" s="47"/>
      <c r="I98" s="47"/>
      <c r="J98" s="47"/>
      <c r="K98" s="48"/>
    </row>
    <row r="99" spans="2:11" s="46" customFormat="1" x14ac:dyDescent="0.25">
      <c r="B99" s="98" t="s">
        <v>136</v>
      </c>
      <c r="C99" s="97"/>
      <c r="D99" s="97"/>
      <c r="E99" s="97"/>
      <c r="F99" s="97">
        <f>SUM(F84:F98)</f>
        <v>0</v>
      </c>
      <c r="G99" s="100">
        <f>F84+F85+F86+F87+F88+F94+F96</f>
        <v>0</v>
      </c>
      <c r="H99" s="48">
        <f>G99/J5</f>
        <v>0</v>
      </c>
      <c r="I99" s="47"/>
      <c r="J99" s="47"/>
      <c r="K99" s="48"/>
    </row>
    <row r="100" spans="2:11" s="46" customFormat="1" x14ac:dyDescent="0.25">
      <c r="B100" s="49"/>
      <c r="C100" s="50"/>
      <c r="D100" s="50"/>
      <c r="E100" s="50"/>
      <c r="F100" s="51"/>
      <c r="G100" s="52"/>
      <c r="H100" s="48"/>
      <c r="I100" s="47"/>
      <c r="J100" s="47"/>
      <c r="K100" s="48"/>
    </row>
    <row r="101" spans="2:11" s="46" customFormat="1" x14ac:dyDescent="0.25">
      <c r="B101"/>
      <c r="C101"/>
      <c r="D101"/>
      <c r="E101"/>
      <c r="F101"/>
      <c r="G101"/>
      <c r="H101" s="48"/>
      <c r="I101" s="47"/>
      <c r="J101" s="47"/>
      <c r="K101" s="48"/>
    </row>
    <row r="102" spans="2:11" x14ac:dyDescent="0.25">
      <c r="B102" s="102" t="s">
        <v>137</v>
      </c>
      <c r="C102" s="24"/>
      <c r="D102" s="24"/>
      <c r="E102" s="24"/>
      <c r="F102" s="24"/>
      <c r="G102" s="101"/>
      <c r="H102" s="23"/>
      <c r="I102" s="23"/>
      <c r="J102" s="23"/>
    </row>
    <row r="103" spans="2:11" x14ac:dyDescent="0.25">
      <c r="B103" s="86"/>
      <c r="C103" s="86"/>
      <c r="D103" s="81" t="s">
        <v>138</v>
      </c>
      <c r="E103" s="84" t="s">
        <v>39</v>
      </c>
      <c r="F103" s="37"/>
      <c r="G103" s="37"/>
      <c r="J103" s="23"/>
    </row>
    <row r="104" spans="2:11" x14ac:dyDescent="0.25">
      <c r="B104" s="8" t="s">
        <v>139</v>
      </c>
      <c r="C104" s="16">
        <v>26</v>
      </c>
      <c r="D104" s="16">
        <v>30</v>
      </c>
      <c r="E104" s="127"/>
      <c r="F104" s="23" t="s">
        <v>189</v>
      </c>
      <c r="G104"/>
      <c r="J104" s="23"/>
    </row>
    <row r="105" spans="2:11" x14ac:dyDescent="0.25">
      <c r="B105" s="98" t="s">
        <v>140</v>
      </c>
      <c r="C105" s="16"/>
      <c r="D105" s="16"/>
      <c r="E105" s="33">
        <f>J18*2.3%</f>
        <v>0</v>
      </c>
      <c r="F105" s="23"/>
      <c r="G105"/>
      <c r="J105" s="23"/>
    </row>
    <row r="106" spans="2:11" x14ac:dyDescent="0.25">
      <c r="B106" s="98" t="s">
        <v>54</v>
      </c>
      <c r="C106" s="16"/>
      <c r="D106" s="16"/>
      <c r="E106" s="33">
        <f>SUM(E104:E105)</f>
        <v>0</v>
      </c>
      <c r="F106" s="23"/>
      <c r="G106"/>
      <c r="J106" s="23"/>
    </row>
    <row r="107" spans="2:11" x14ac:dyDescent="0.25">
      <c r="B107" s="8" t="s">
        <v>141</v>
      </c>
      <c r="C107" s="16"/>
      <c r="D107" s="16"/>
      <c r="E107" s="33">
        <f>C13-E106</f>
        <v>0</v>
      </c>
      <c r="F107" s="23"/>
      <c r="G107"/>
      <c r="H107" s="23"/>
      <c r="I107" s="23"/>
      <c r="J107" s="23"/>
    </row>
    <row r="108" spans="2:11" x14ac:dyDescent="0.25">
      <c r="H108" s="23"/>
      <c r="I108" s="23"/>
      <c r="J108" s="23"/>
    </row>
    <row r="109" spans="2:11" x14ac:dyDescent="0.25">
      <c r="H109" s="23"/>
      <c r="I109" s="23"/>
      <c r="J109" s="23"/>
    </row>
    <row r="110" spans="2:11" x14ac:dyDescent="0.25">
      <c r="H110" s="23"/>
      <c r="I110" s="23"/>
      <c r="J110" s="23"/>
    </row>
    <row r="111" spans="2:11" x14ac:dyDescent="0.25">
      <c r="H111" s="23"/>
      <c r="I111" s="23"/>
      <c r="J111" s="23"/>
    </row>
    <row r="112" spans="2:11" x14ac:dyDescent="0.25">
      <c r="H112" s="23"/>
      <c r="I112" s="23"/>
      <c r="J112" s="23"/>
    </row>
    <row r="113" spans="8:10" x14ac:dyDescent="0.25">
      <c r="H113" s="23"/>
      <c r="I113" s="23"/>
      <c r="J113" s="23"/>
    </row>
    <row r="114" spans="8:10" x14ac:dyDescent="0.25">
      <c r="H114" s="23"/>
      <c r="I114" s="23"/>
      <c r="J114" s="23"/>
    </row>
    <row r="115" spans="8:10" x14ac:dyDescent="0.25">
      <c r="H115" s="23"/>
      <c r="I115" s="23"/>
      <c r="J115" s="23"/>
    </row>
    <row r="116" spans="8:10" x14ac:dyDescent="0.25">
      <c r="H116" s="23"/>
      <c r="I116" s="23"/>
      <c r="J116" s="23"/>
    </row>
    <row r="117" spans="8:10" x14ac:dyDescent="0.25">
      <c r="H117" s="23"/>
      <c r="I117" s="23"/>
      <c r="J117" s="23"/>
    </row>
    <row r="118" spans="8:10" x14ac:dyDescent="0.25">
      <c r="H118" s="23"/>
      <c r="I118" s="23"/>
      <c r="J118" s="23"/>
    </row>
    <row r="119" spans="8:10" x14ac:dyDescent="0.25">
      <c r="H119" s="23"/>
      <c r="I119" s="23"/>
      <c r="J119" s="23"/>
    </row>
    <row r="120" spans="8:10" x14ac:dyDescent="0.25">
      <c r="H120" s="23"/>
      <c r="I120" s="23"/>
      <c r="J120" s="23"/>
    </row>
    <row r="121" spans="8:10" x14ac:dyDescent="0.25">
      <c r="H121" s="23"/>
      <c r="I121" s="23"/>
      <c r="J121" s="23"/>
    </row>
    <row r="122" spans="8:10" x14ac:dyDescent="0.25">
      <c r="H122" s="23"/>
      <c r="I122" s="23"/>
      <c r="J122" s="23"/>
    </row>
    <row r="123" spans="8:10" x14ac:dyDescent="0.25">
      <c r="H123" s="23"/>
      <c r="I123" s="23"/>
      <c r="J123" s="23"/>
    </row>
    <row r="124" spans="8:10" x14ac:dyDescent="0.25">
      <c r="H124" s="23"/>
      <c r="I124" s="23"/>
      <c r="J124" s="23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22"/>
  <sheetViews>
    <sheetView showGridLines="0" zoomScaleNormal="100" workbookViewId="0">
      <selection activeCell="B4" sqref="B4"/>
    </sheetView>
  </sheetViews>
  <sheetFormatPr defaultColWidth="8.7109375" defaultRowHeight="15" x14ac:dyDescent="0.25"/>
  <cols>
    <col min="1" max="1" width="8.7109375" style="7"/>
    <col min="2" max="2" width="31.140625" style="7" customWidth="1"/>
    <col min="3" max="3" width="14.28515625" style="2" customWidth="1"/>
    <col min="4" max="4" width="18" style="7" customWidth="1"/>
    <col min="5" max="5" width="19.28515625" style="7" customWidth="1"/>
    <col min="6" max="6" width="14.28515625" style="7" customWidth="1"/>
    <col min="7" max="8" width="13.28515625" style="7" customWidth="1"/>
    <col min="9" max="9" width="9.5703125" style="7" customWidth="1"/>
    <col min="10" max="10" width="9.140625" style="7" customWidth="1"/>
    <col min="11" max="11" width="8.7109375" style="7"/>
    <col min="12" max="12" width="14.28515625" style="7" customWidth="1"/>
    <col min="13" max="13" width="13.28515625" style="7" customWidth="1"/>
    <col min="14" max="1024" width="8.7109375" style="7"/>
  </cols>
  <sheetData>
    <row r="2" spans="2:13" x14ac:dyDescent="0.25">
      <c r="B2" s="120" t="str">
        <f>'Resultados econômicos globais'!B1</f>
        <v>Sistema de produção com agroindústria de queijo</v>
      </c>
      <c r="C2" s="91"/>
      <c r="D2" s="121" t="str">
        <f>'Resultados econômicos globais'!D5</f>
        <v>S.A.U. =</v>
      </c>
      <c r="E2" s="92">
        <f>'Resultados econômicos globais'!E5</f>
        <v>25</v>
      </c>
      <c r="F2" s="93" t="str">
        <f>'Resultados econômicos globais'!F5</f>
        <v>ha</v>
      </c>
      <c r="G2" s="121" t="str">
        <f>'Resultados econômicos globais'!G5</f>
        <v>UT =</v>
      </c>
      <c r="H2" s="93">
        <f>'Resultados econômicos globais'!H5</f>
        <v>3.5</v>
      </c>
      <c r="I2" s="121" t="str">
        <f>'Resultados econômicos globais'!I5</f>
        <v>UTf =</v>
      </c>
      <c r="J2" s="92">
        <f>'Resultados econômicos globais'!J5</f>
        <v>2.5</v>
      </c>
      <c r="K2" s="93" t="str">
        <f>'Resultados econômicos globais'!K5</f>
        <v>pessoas</v>
      </c>
    </row>
    <row r="4" spans="2:13" x14ac:dyDescent="0.25">
      <c r="B4" s="53" t="str">
        <f>'Resultados econômicos globais'!B8</f>
        <v>Resultados economicos globais</v>
      </c>
      <c r="C4" s="10"/>
      <c r="D4" s="54" t="str">
        <f>'Resultados econômicos globais'!D9</f>
        <v>Produtividade</v>
      </c>
      <c r="E4" s="107">
        <f>C8/H2</f>
        <v>0</v>
      </c>
    </row>
    <row r="5" spans="2:13" x14ac:dyDescent="0.25">
      <c r="B5" s="54" t="str">
        <f>'Resultados econômicos globais'!B9</f>
        <v>Produção bruta</v>
      </c>
      <c r="C5" s="33">
        <f>'Resultados econômicos globais'!C9</f>
        <v>0</v>
      </c>
      <c r="D5" s="54" t="str">
        <f>'Resultados econômicos globais'!D12</f>
        <v>VA/SAU</v>
      </c>
      <c r="E5" s="33">
        <f>'Resultados econômicos globais'!E12</f>
        <v>0</v>
      </c>
      <c r="G5" s="7" t="s">
        <v>142</v>
      </c>
      <c r="H5" s="55" t="s">
        <v>143</v>
      </c>
      <c r="I5" s="2" t="s">
        <v>144</v>
      </c>
    </row>
    <row r="6" spans="2:13" x14ac:dyDescent="0.25">
      <c r="B6" s="54" t="str">
        <f>'Resultados econômicos globais'!B10</f>
        <v>Cons. Interm.</v>
      </c>
      <c r="C6" s="33">
        <f>'Resultados econômicos globais'!C10</f>
        <v>0</v>
      </c>
      <c r="D6" s="54" t="str">
        <f>'Resultados econômicos globais'!D10</f>
        <v>RA/Utf</v>
      </c>
      <c r="E6" s="108">
        <f>C10/J2</f>
        <v>0</v>
      </c>
      <c r="G6" s="20" t="s">
        <v>145</v>
      </c>
      <c r="H6" s="12">
        <f>(C5-C6-C11)/E2</f>
        <v>0</v>
      </c>
      <c r="I6" s="1">
        <f>(C5-C6)/E2</f>
        <v>0</v>
      </c>
    </row>
    <row r="7" spans="2:13" x14ac:dyDescent="0.25">
      <c r="B7" s="54" t="str">
        <f>'Resultados econômicos globais'!B12</f>
        <v>Depreciações</v>
      </c>
      <c r="C7" s="33">
        <f>'Resultados econômicos globais'!C12</f>
        <v>0</v>
      </c>
      <c r="D7" s="54" t="str">
        <f>'Resultados econômicos globais'!D13</f>
        <v>SAU/UT</v>
      </c>
      <c r="E7" s="12">
        <f>'Resultados econômicos globais'!E13</f>
        <v>0</v>
      </c>
      <c r="G7" s="20" t="s">
        <v>146</v>
      </c>
      <c r="H7" s="12">
        <f>C13/J2</f>
        <v>0</v>
      </c>
      <c r="I7" s="1">
        <f>C7/H2</f>
        <v>0</v>
      </c>
    </row>
    <row r="8" spans="2:13" x14ac:dyDescent="0.25">
      <c r="B8" s="54" t="str">
        <f>'Resultados econômicos globais'!B13</f>
        <v>Valor agregado</v>
      </c>
      <c r="C8" s="33">
        <f>'Resultados econômicos globais'!C13</f>
        <v>0</v>
      </c>
      <c r="D8" s="54" t="s">
        <v>30</v>
      </c>
      <c r="E8" s="12">
        <f>E2/J2</f>
        <v>10</v>
      </c>
    </row>
    <row r="9" spans="2:13" x14ac:dyDescent="0.25">
      <c r="B9" s="54" t="s">
        <v>147</v>
      </c>
      <c r="C9" s="10">
        <f>'Resultados econômicos globais'!E106</f>
        <v>0</v>
      </c>
      <c r="D9" s="56" t="s">
        <v>148</v>
      </c>
      <c r="E9" s="22">
        <v>622</v>
      </c>
      <c r="G9" s="12" t="s">
        <v>149</v>
      </c>
      <c r="H9" s="12" t="s">
        <v>143</v>
      </c>
      <c r="I9" s="16" t="s">
        <v>144</v>
      </c>
      <c r="J9" s="12" t="s">
        <v>150</v>
      </c>
    </row>
    <row r="10" spans="2:13" x14ac:dyDescent="0.25">
      <c r="B10" s="54" t="str">
        <f>'Resultados econômicos globais'!B15</f>
        <v>renda agrícola global</v>
      </c>
      <c r="C10" s="33">
        <f>'Resultados econômicos globais'!C15</f>
        <v>0</v>
      </c>
      <c r="D10" s="54" t="s">
        <v>150</v>
      </c>
      <c r="E10" s="33">
        <f>13*E9</f>
        <v>8086</v>
      </c>
      <c r="F10" s="57"/>
      <c r="G10" s="12">
        <v>0</v>
      </c>
      <c r="H10" s="12"/>
      <c r="I10" s="16"/>
      <c r="J10" s="12">
        <f>E10</f>
        <v>8086</v>
      </c>
    </row>
    <row r="11" spans="2:13" x14ac:dyDescent="0.25">
      <c r="B11" s="54" t="s">
        <v>151</v>
      </c>
      <c r="C11" s="10">
        <f>'Resultados econômicos globais'!E105</f>
        <v>0</v>
      </c>
      <c r="G11" s="12">
        <f>'Resultados econômicos globais'!E13</f>
        <v>0</v>
      </c>
      <c r="H11" s="12"/>
      <c r="I11" s="106"/>
      <c r="J11" s="68">
        <f>$E$10</f>
        <v>8086</v>
      </c>
    </row>
    <row r="12" spans="2:13" x14ac:dyDescent="0.25">
      <c r="B12" s="54" t="s">
        <v>152</v>
      </c>
      <c r="C12" s="10">
        <f>'Resultados econômicos globais'!E104</f>
        <v>0</v>
      </c>
      <c r="E12"/>
      <c r="F12"/>
      <c r="G12" s="12">
        <v>10</v>
      </c>
      <c r="H12" s="109"/>
      <c r="I12" s="105"/>
      <c r="J12" s="104"/>
      <c r="L12" s="24"/>
      <c r="M12" s="24"/>
    </row>
    <row r="13" spans="2:13" x14ac:dyDescent="0.25">
      <c r="B13" s="54" t="s">
        <v>153</v>
      </c>
      <c r="C13" s="10">
        <f>C7+C12</f>
        <v>0</v>
      </c>
      <c r="E13"/>
      <c r="F13"/>
      <c r="G13"/>
      <c r="H13"/>
      <c r="I13"/>
      <c r="J13"/>
      <c r="K13"/>
      <c r="L13"/>
      <c r="M13" s="24"/>
    </row>
    <row r="14" spans="2:13" x14ac:dyDescent="0.25">
      <c r="B14"/>
      <c r="C14"/>
      <c r="E14"/>
      <c r="F14"/>
      <c r="G14"/>
      <c r="H14"/>
      <c r="I14"/>
      <c r="J14"/>
      <c r="K14"/>
      <c r="L14"/>
      <c r="M14" s="24"/>
    </row>
    <row r="15" spans="2:13" x14ac:dyDescent="0.25">
      <c r="B15"/>
      <c r="C15"/>
      <c r="E15"/>
      <c r="F15"/>
      <c r="G15"/>
      <c r="H15"/>
      <c r="L15" s="24"/>
    </row>
    <row r="16" spans="2:13" x14ac:dyDescent="0.25">
      <c r="B16"/>
      <c r="C16"/>
      <c r="E16"/>
      <c r="F16"/>
      <c r="G16" s="24"/>
      <c r="H16"/>
      <c r="L16" s="24"/>
    </row>
    <row r="17" spans="2:8" x14ac:dyDescent="0.25">
      <c r="B17"/>
      <c r="C17"/>
      <c r="G17" s="24"/>
      <c r="H17"/>
    </row>
    <row r="18" spans="2:8" x14ac:dyDescent="0.25">
      <c r="B18" s="58"/>
      <c r="C18" s="24"/>
      <c r="E18"/>
      <c r="F18"/>
      <c r="G18" s="24"/>
      <c r="H18"/>
    </row>
    <row r="19" spans="2:8" x14ac:dyDescent="0.25">
      <c r="E19"/>
      <c r="F19"/>
    </row>
    <row r="20" spans="2:8" x14ac:dyDescent="0.25">
      <c r="E20"/>
      <c r="F20"/>
    </row>
    <row r="21" spans="2:8" x14ac:dyDescent="0.25">
      <c r="B21"/>
      <c r="C21"/>
      <c r="E21"/>
      <c r="F21"/>
    </row>
    <row r="22" spans="2:8" x14ac:dyDescent="0.25">
      <c r="F22" s="24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8"/>
  <sheetViews>
    <sheetView showGridLines="0" topLeftCell="A16" zoomScaleNormal="100" workbookViewId="0">
      <selection activeCell="G15" sqref="G15:G19"/>
    </sheetView>
  </sheetViews>
  <sheetFormatPr defaultColWidth="9.140625" defaultRowHeight="15" x14ac:dyDescent="0.25"/>
  <cols>
    <col min="1" max="1" width="5.140625" style="59" customWidth="1"/>
    <col min="2" max="2" width="12.7109375" style="59" customWidth="1"/>
    <col min="3" max="3" width="23.5703125" style="59" customWidth="1"/>
    <col min="4" max="4" width="17.140625" style="59" customWidth="1"/>
    <col min="5" max="5" width="14" style="59" customWidth="1"/>
    <col min="6" max="6" width="13.28515625" style="59" customWidth="1"/>
    <col min="7" max="7" width="19" style="59" customWidth="1"/>
    <col min="8" max="8" width="15.42578125" style="59" customWidth="1"/>
    <col min="9" max="9" width="16.85546875" style="59" customWidth="1"/>
    <col min="10" max="10" width="16.140625" style="59" customWidth="1"/>
    <col min="11" max="1024" width="9.140625" style="59"/>
  </cols>
  <sheetData>
    <row r="1" spans="2:11" x14ac:dyDescent="0.25">
      <c r="B1" s="3" t="s">
        <v>154</v>
      </c>
      <c r="D1" s="110" t="s">
        <v>155</v>
      </c>
      <c r="E1" s="111">
        <v>25</v>
      </c>
      <c r="F1" s="112" t="s">
        <v>6</v>
      </c>
      <c r="G1" s="113">
        <v>3.5</v>
      </c>
      <c r="H1" s="112" t="s">
        <v>156</v>
      </c>
      <c r="I1" s="113">
        <v>2.5</v>
      </c>
      <c r="J1" s="114" t="s">
        <v>157</v>
      </c>
      <c r="K1" s="112" t="s">
        <v>157</v>
      </c>
    </row>
    <row r="2" spans="2:11" x14ac:dyDescent="0.25">
      <c r="D2" s="60"/>
      <c r="E2" s="60"/>
      <c r="F2" s="117"/>
      <c r="G2" s="117"/>
      <c r="H2" s="60"/>
      <c r="I2" s="60"/>
      <c r="J2" s="60"/>
    </row>
    <row r="3" spans="2:11" ht="45" x14ac:dyDescent="0.25">
      <c r="B3" s="6" t="s">
        <v>158</v>
      </c>
      <c r="C3" s="6" t="s">
        <v>15</v>
      </c>
      <c r="D3" s="6" t="s">
        <v>55</v>
      </c>
      <c r="E3" s="6" t="s">
        <v>159</v>
      </c>
      <c r="F3" s="6" t="s">
        <v>160</v>
      </c>
      <c r="G3" s="6" t="s">
        <v>22</v>
      </c>
      <c r="H3" s="6" t="s">
        <v>161</v>
      </c>
      <c r="I3" s="61" t="s">
        <v>162</v>
      </c>
      <c r="J3"/>
    </row>
    <row r="4" spans="2:11" x14ac:dyDescent="0.25">
      <c r="B4" s="11" t="s">
        <v>163</v>
      </c>
      <c r="C4" s="12"/>
      <c r="D4" s="12"/>
      <c r="E4" s="12"/>
      <c r="F4" s="12"/>
      <c r="G4" s="12"/>
      <c r="H4" s="12"/>
      <c r="I4" s="12"/>
      <c r="J4"/>
    </row>
    <row r="5" spans="2:11" x14ac:dyDescent="0.25">
      <c r="B5" s="11" t="s">
        <v>164</v>
      </c>
      <c r="C5" s="12"/>
      <c r="D5" s="12"/>
      <c r="E5" s="12"/>
      <c r="F5" s="12"/>
      <c r="G5" s="12"/>
      <c r="H5" s="12"/>
      <c r="I5" s="12"/>
      <c r="J5"/>
    </row>
    <row r="6" spans="2:11" x14ac:dyDescent="0.25">
      <c r="B6" s="11" t="s">
        <v>165</v>
      </c>
      <c r="C6" s="12"/>
      <c r="D6" s="12"/>
      <c r="E6" s="12"/>
      <c r="F6" s="12"/>
      <c r="G6" s="12"/>
      <c r="H6" s="12"/>
      <c r="I6" s="12"/>
      <c r="J6"/>
    </row>
    <row r="7" spans="2:11" s="62" customFormat="1" x14ac:dyDescent="0.25">
      <c r="B7" s="63" t="s">
        <v>166</v>
      </c>
      <c r="C7" s="64"/>
      <c r="D7" s="65"/>
      <c r="E7" s="65"/>
      <c r="F7" s="65"/>
      <c r="G7" s="65"/>
      <c r="H7" s="65"/>
      <c r="I7" s="65"/>
      <c r="J7"/>
    </row>
    <row r="8" spans="2:11" s="62" customFormat="1" x14ac:dyDescent="0.25">
      <c r="B8" s="66" t="s">
        <v>167</v>
      </c>
      <c r="C8" s="67"/>
      <c r="D8" s="67"/>
      <c r="E8" s="67"/>
      <c r="F8" s="67"/>
      <c r="G8" s="67"/>
      <c r="H8" s="67"/>
      <c r="I8" s="67"/>
      <c r="J8"/>
    </row>
    <row r="9" spans="2:11" x14ac:dyDescent="0.25">
      <c r="B9" s="11" t="s">
        <v>168</v>
      </c>
      <c r="C9" s="16">
        <f>SUM(C4:C6)</f>
        <v>0</v>
      </c>
      <c r="D9" s="16">
        <f>SUM(D4:D8)-D6</f>
        <v>0</v>
      </c>
      <c r="E9" s="16">
        <f>SUM(E4:E8)-E6</f>
        <v>0</v>
      </c>
      <c r="F9" s="16">
        <f>SUM(F4:F8)-F6</f>
        <v>0</v>
      </c>
      <c r="G9" s="16">
        <f>(G4*F4+G5*F5+G6*F6)/E1</f>
        <v>0</v>
      </c>
      <c r="H9" s="16"/>
      <c r="I9" s="16">
        <f>(I4*F4+I5*F5+I6*F6)/E1</f>
        <v>0</v>
      </c>
      <c r="J9"/>
    </row>
    <row r="10" spans="2:11" x14ac:dyDescent="0.25">
      <c r="B10" s="69"/>
      <c r="C10" s="55">
        <f>'Resultados econômicos globais'!C9</f>
        <v>0</v>
      </c>
      <c r="D10" s="55">
        <f>'Resultados econômicos globais'!C10</f>
        <v>0</v>
      </c>
      <c r="E10" s="55">
        <f>'Resultados econômicos globais'!C11</f>
        <v>0</v>
      </c>
      <c r="F10" s="55">
        <f>'Resultados econômicos globais'!E5</f>
        <v>25</v>
      </c>
      <c r="G10" s="55">
        <f>'Modelos lineares globais'!I6</f>
        <v>0</v>
      </c>
      <c r="H10" s="55"/>
      <c r="I10" s="55">
        <f>'Modelos lineares globais'!H6</f>
        <v>0</v>
      </c>
      <c r="J10"/>
    </row>
    <row r="11" spans="2:11" x14ac:dyDescent="0.25">
      <c r="B11" s="69"/>
      <c r="C11" s="55"/>
      <c r="D11" s="55"/>
      <c r="E11" s="55"/>
      <c r="F11" s="24"/>
      <c r="G11" s="24"/>
      <c r="H11" s="24"/>
      <c r="I11" s="24">
        <f>I9-I10</f>
        <v>0</v>
      </c>
    </row>
    <row r="12" spans="2:11" x14ac:dyDescent="0.25">
      <c r="J12" s="60"/>
    </row>
    <row r="13" spans="2:11" ht="31.35" customHeight="1" x14ac:dyDescent="0.25">
      <c r="B13" s="118" t="s">
        <v>158</v>
      </c>
      <c r="C13" s="119" t="s">
        <v>169</v>
      </c>
      <c r="D13" s="119" t="s">
        <v>170</v>
      </c>
      <c r="E13" s="119" t="s">
        <v>171</v>
      </c>
      <c r="F13" s="119" t="s">
        <v>172</v>
      </c>
      <c r="G13" s="119"/>
      <c r="H13" s="61" t="s">
        <v>141</v>
      </c>
      <c r="I13" s="115"/>
      <c r="J13" s="60"/>
    </row>
    <row r="14" spans="2:11" x14ac:dyDescent="0.25">
      <c r="B14" s="118"/>
      <c r="C14" s="119"/>
      <c r="D14" s="119"/>
      <c r="E14" s="119"/>
      <c r="F14" s="61" t="s">
        <v>173</v>
      </c>
      <c r="G14" s="61" t="s">
        <v>174</v>
      </c>
      <c r="H14" s="61"/>
      <c r="I14" s="115"/>
      <c r="J14"/>
    </row>
    <row r="15" spans="2:11" x14ac:dyDescent="0.25">
      <c r="B15" s="11" t="s">
        <v>163</v>
      </c>
      <c r="C15" s="12"/>
      <c r="D15" s="33"/>
      <c r="E15" s="12"/>
      <c r="F15" s="12"/>
      <c r="G15" s="116"/>
      <c r="H15" s="33"/>
      <c r="I15" s="70"/>
      <c r="J15"/>
    </row>
    <row r="16" spans="2:11" x14ac:dyDescent="0.25">
      <c r="B16" s="11" t="s">
        <v>164</v>
      </c>
      <c r="C16" s="12"/>
      <c r="D16" s="33"/>
      <c r="E16" s="12"/>
      <c r="F16" s="12"/>
      <c r="G16" s="116"/>
      <c r="H16" s="33"/>
      <c r="I16" s="70"/>
      <c r="J16"/>
    </row>
    <row r="17" spans="2:10" s="62" customFormat="1" x14ac:dyDescent="0.25">
      <c r="B17" s="63" t="s">
        <v>166</v>
      </c>
      <c r="C17" s="65"/>
      <c r="D17" s="64"/>
      <c r="E17" s="65"/>
      <c r="F17" s="65"/>
      <c r="G17" s="116"/>
      <c r="H17" s="64"/>
      <c r="I17" s="71"/>
      <c r="J17"/>
    </row>
    <row r="18" spans="2:10" s="62" customFormat="1" x14ac:dyDescent="0.25">
      <c r="B18" s="63" t="s">
        <v>167</v>
      </c>
      <c r="C18" s="65"/>
      <c r="D18" s="64"/>
      <c r="E18" s="65"/>
      <c r="F18" s="65"/>
      <c r="G18" s="116"/>
      <c r="H18" s="64"/>
      <c r="I18" s="71"/>
      <c r="J18" s="72"/>
    </row>
    <row r="19" spans="2:10" x14ac:dyDescent="0.25">
      <c r="B19" s="11" t="s">
        <v>165</v>
      </c>
      <c r="C19" s="12"/>
      <c r="D19" s="33"/>
      <c r="E19" s="12"/>
      <c r="F19" s="12"/>
      <c r="G19" s="116"/>
      <c r="H19" s="33"/>
      <c r="I19" s="70"/>
      <c r="J19"/>
    </row>
    <row r="20" spans="2:10" x14ac:dyDescent="0.25">
      <c r="B20" s="11" t="s">
        <v>26</v>
      </c>
      <c r="C20" s="16"/>
      <c r="D20" s="33">
        <f>SUM(D15:D19)-D19</f>
        <v>0</v>
      </c>
      <c r="E20" s="16">
        <f>SUM(E15:E19)-E18-E17</f>
        <v>0</v>
      </c>
      <c r="F20" s="16">
        <f>F19</f>
        <v>0</v>
      </c>
      <c r="G20" s="16">
        <f>G15</f>
        <v>0</v>
      </c>
      <c r="H20" s="16">
        <f>E20-G20-F20</f>
        <v>0</v>
      </c>
      <c r="I20" s="70"/>
      <c r="J20"/>
    </row>
    <row r="21" spans="2:10" x14ac:dyDescent="0.25">
      <c r="B21" s="60"/>
      <c r="C21" s="24"/>
      <c r="D21" s="23"/>
      <c r="E21"/>
      <c r="F21" s="73">
        <f>G20+F20</f>
        <v>0</v>
      </c>
      <c r="G21" s="73"/>
      <c r="H21" s="23">
        <f>'Resultados econômicos globais'!E10</f>
        <v>0</v>
      </c>
      <c r="I21" s="70"/>
      <c r="J21" s="60"/>
    </row>
    <row r="22" spans="2:10" x14ac:dyDescent="0.25">
      <c r="B22"/>
      <c r="C22" s="7"/>
      <c r="D22" s="7"/>
      <c r="E22" s="7"/>
      <c r="F22" s="74">
        <f>F21-G21</f>
        <v>0</v>
      </c>
      <c r="G22" s="2"/>
      <c r="H22" s="7">
        <f>H20-H21</f>
        <v>0</v>
      </c>
      <c r="I22"/>
      <c r="J22" s="60"/>
    </row>
    <row r="23" spans="2:10" x14ac:dyDescent="0.25">
      <c r="F23" s="60"/>
      <c r="G23" s="60"/>
      <c r="H23" s="75"/>
      <c r="I23" s="70"/>
      <c r="J23" s="60"/>
    </row>
    <row r="24" spans="2:10" x14ac:dyDescent="0.25">
      <c r="B24" s="60"/>
      <c r="C24" s="60"/>
      <c r="D24" s="60">
        <f>SUM(D15:D19)</f>
        <v>0</v>
      </c>
      <c r="E24" s="60"/>
      <c r="F24" s="60"/>
      <c r="G24" s="60"/>
      <c r="H24" s="60"/>
      <c r="I24" s="76"/>
      <c r="J24" s="60"/>
    </row>
    <row r="26" spans="2:10" s="77" customFormat="1" ht="36" customHeight="1" x14ac:dyDescent="0.25">
      <c r="B26" s="78" t="s">
        <v>30</v>
      </c>
      <c r="C26" s="6" t="s">
        <v>163</v>
      </c>
      <c r="D26" s="6" t="s">
        <v>175</v>
      </c>
      <c r="E26" s="6" t="s">
        <v>176</v>
      </c>
      <c r="F26" s="6" t="s">
        <v>177</v>
      </c>
      <c r="G26" s="6" t="s">
        <v>178</v>
      </c>
      <c r="H26"/>
    </row>
    <row r="27" spans="2:10" x14ac:dyDescent="0.25">
      <c r="B27" s="79">
        <v>0</v>
      </c>
      <c r="C27" s="12">
        <f>-G15</f>
        <v>0</v>
      </c>
      <c r="D27" s="12"/>
      <c r="E27" s="12"/>
      <c r="F27" s="12"/>
      <c r="G27" s="33"/>
      <c r="H27"/>
    </row>
    <row r="28" spans="2:10" x14ac:dyDescent="0.25">
      <c r="B28" s="79">
        <f>D15</f>
        <v>0</v>
      </c>
      <c r="C28" s="12">
        <f>C27+E15</f>
        <v>0</v>
      </c>
      <c r="D28" s="12">
        <f>C28</f>
        <v>0</v>
      </c>
      <c r="E28" s="12"/>
      <c r="F28" s="12"/>
      <c r="G28" s="33"/>
      <c r="H28"/>
    </row>
    <row r="29" spans="2:10" x14ac:dyDescent="0.25">
      <c r="B29" s="79">
        <f>D15+D16</f>
        <v>0</v>
      </c>
      <c r="C29" s="12"/>
      <c r="D29" s="12">
        <f>D28+E16</f>
        <v>0</v>
      </c>
      <c r="E29" s="12">
        <f>D29</f>
        <v>0</v>
      </c>
      <c r="F29" s="12"/>
      <c r="G29" s="33">
        <f>E29</f>
        <v>0</v>
      </c>
      <c r="H29"/>
    </row>
    <row r="30" spans="2:10" x14ac:dyDescent="0.25">
      <c r="B30" s="79">
        <f>B29</f>
        <v>0</v>
      </c>
      <c r="C30" s="12"/>
      <c r="D30" s="12"/>
      <c r="E30" s="12">
        <f>E29-F17</f>
        <v>0</v>
      </c>
      <c r="F30" s="12"/>
      <c r="G30" s="33">
        <f>G29-F19</f>
        <v>0</v>
      </c>
      <c r="H30"/>
    </row>
    <row r="31" spans="2:10" x14ac:dyDescent="0.25">
      <c r="B31" s="79">
        <f>B30+D17</f>
        <v>0</v>
      </c>
      <c r="C31" s="12"/>
      <c r="D31" s="12"/>
      <c r="E31" s="12">
        <f>E30+E17</f>
        <v>0</v>
      </c>
      <c r="F31" s="12">
        <f>E31-F18</f>
        <v>0</v>
      </c>
      <c r="G31" s="33">
        <f>G30+E19</f>
        <v>0</v>
      </c>
      <c r="H31"/>
    </row>
    <row r="32" spans="2:10" x14ac:dyDescent="0.25">
      <c r="B32" s="79">
        <f>B31</f>
        <v>0</v>
      </c>
      <c r="C32" s="12"/>
      <c r="D32" s="12"/>
      <c r="E32" s="12"/>
      <c r="F32" s="12">
        <f>F31+E18</f>
        <v>0</v>
      </c>
      <c r="G32" s="33"/>
      <c r="H32"/>
    </row>
    <row r="33" spans="2:9" x14ac:dyDescent="0.25">
      <c r="B33" s="79"/>
      <c r="C33" s="12"/>
      <c r="D33" s="12"/>
      <c r="E33" s="12"/>
      <c r="F33" s="12"/>
      <c r="G33" s="33"/>
      <c r="H33"/>
    </row>
    <row r="34" spans="2:9" x14ac:dyDescent="0.25">
      <c r="B34" s="60"/>
      <c r="C34" s="60"/>
      <c r="D34" s="60"/>
      <c r="E34" s="60"/>
      <c r="F34" s="60"/>
      <c r="G34" s="60"/>
      <c r="H34" s="60"/>
      <c r="I34" s="60"/>
    </row>
    <row r="35" spans="2:9" x14ac:dyDescent="0.25">
      <c r="B35" s="60"/>
      <c r="C35" s="60"/>
      <c r="E35" s="60"/>
      <c r="F35" s="60"/>
      <c r="G35" s="60"/>
      <c r="H35" s="60"/>
      <c r="I35" s="60"/>
    </row>
    <row r="36" spans="2:9" x14ac:dyDescent="0.25">
      <c r="B36" s="60"/>
      <c r="C36" s="60"/>
      <c r="E36" s="60"/>
      <c r="F36" s="60"/>
      <c r="G36" s="60"/>
      <c r="H36" s="60"/>
      <c r="I36" s="60"/>
    </row>
    <row r="37" spans="2:9" x14ac:dyDescent="0.25">
      <c r="B37" s="60"/>
      <c r="C37" s="60"/>
      <c r="E37" s="60"/>
      <c r="F37" s="60"/>
      <c r="G37" s="60"/>
      <c r="H37" s="60"/>
      <c r="I37" s="60"/>
    </row>
    <row r="38" spans="2:9" x14ac:dyDescent="0.25">
      <c r="B38" s="60"/>
      <c r="C38" s="60"/>
      <c r="E38" s="60"/>
      <c r="F38" s="60"/>
      <c r="G38" s="60"/>
      <c r="H38" s="60"/>
      <c r="I38" s="60"/>
    </row>
  </sheetData>
  <mergeCells count="8">
    <mergeCell ref="I13:I14"/>
    <mergeCell ref="G15:G19"/>
    <mergeCell ref="F2:G2"/>
    <mergeCell ref="B13:B14"/>
    <mergeCell ref="C13:C14"/>
    <mergeCell ref="D13:D14"/>
    <mergeCell ref="E13:E14"/>
    <mergeCell ref="F13:G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P3:P22"/>
  <sheetViews>
    <sheetView showGridLines="0" zoomScaleNormal="100" workbookViewId="0">
      <selection activeCell="P5" sqref="P5"/>
    </sheetView>
  </sheetViews>
  <sheetFormatPr defaultColWidth="8.7109375" defaultRowHeight="15" x14ac:dyDescent="0.25"/>
  <cols>
    <col min="16" max="16" width="19.85546875" style="80" customWidth="1"/>
    <col min="18" max="18" width="13.85546875" customWidth="1"/>
  </cols>
  <sheetData>
    <row r="3" spans="16:16" x14ac:dyDescent="0.25">
      <c r="P3" s="81" t="s">
        <v>179</v>
      </c>
    </row>
    <row r="4" spans="16:16" x14ac:dyDescent="0.25">
      <c r="P4" s="81" t="s">
        <v>180</v>
      </c>
    </row>
    <row r="5" spans="16:16" x14ac:dyDescent="0.25">
      <c r="P5" s="82">
        <v>1</v>
      </c>
    </row>
    <row r="6" spans="16:16" x14ac:dyDescent="0.25">
      <c r="P6" s="12">
        <v>1</v>
      </c>
    </row>
    <row r="7" spans="16:16" x14ac:dyDescent="0.25">
      <c r="P7" s="81"/>
    </row>
    <row r="8" spans="16:16" x14ac:dyDescent="0.25">
      <c r="P8" s="81" t="s">
        <v>181</v>
      </c>
    </row>
    <row r="9" spans="16:16" x14ac:dyDescent="0.25">
      <c r="P9" s="83">
        <v>14</v>
      </c>
    </row>
    <row r="10" spans="16:16" x14ac:dyDescent="0.25">
      <c r="P10" s="79">
        <v>14</v>
      </c>
    </row>
    <row r="11" spans="16:16" x14ac:dyDescent="0.25">
      <c r="P11" s="84"/>
    </row>
    <row r="12" spans="16:16" x14ac:dyDescent="0.25">
      <c r="P12" s="81" t="s">
        <v>182</v>
      </c>
    </row>
    <row r="13" spans="16:16" x14ac:dyDescent="0.25">
      <c r="P13" s="12">
        <f>'Composição da renda'!E31</f>
        <v>0</v>
      </c>
    </row>
    <row r="14" spans="16:16" x14ac:dyDescent="0.25">
      <c r="P14" s="81"/>
    </row>
    <row r="15" spans="16:16" x14ac:dyDescent="0.25">
      <c r="P15" s="81" t="s">
        <v>183</v>
      </c>
    </row>
    <row r="16" spans="16:16" x14ac:dyDescent="0.25">
      <c r="P16" s="12">
        <f>'Composição da renda'!F32</f>
        <v>0</v>
      </c>
    </row>
    <row r="17" spans="16:16" x14ac:dyDescent="0.25">
      <c r="P17" s="81"/>
    </row>
    <row r="18" spans="16:16" x14ac:dyDescent="0.25">
      <c r="P18" s="81" t="s">
        <v>184</v>
      </c>
    </row>
    <row r="19" spans="16:16" x14ac:dyDescent="0.25">
      <c r="P19" s="12">
        <f>P16-P13</f>
        <v>0</v>
      </c>
    </row>
    <row r="21" spans="16:16" x14ac:dyDescent="0.25">
      <c r="P21" s="84" t="s">
        <v>185</v>
      </c>
    </row>
    <row r="22" spans="16:16" x14ac:dyDescent="0.25">
      <c r="P22" s="84">
        <f>P9/P5</f>
        <v>14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Resultados econômicos globais</vt:lpstr>
      <vt:lpstr>Modelos lineares globais</vt:lpstr>
      <vt:lpstr>Composição da renda</vt:lpstr>
      <vt:lpstr>Simulação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Benedito</dc:creator>
  <dc:description/>
  <cp:lastModifiedBy>Avaliador</cp:lastModifiedBy>
  <cp:revision>1</cp:revision>
  <dcterms:created xsi:type="dcterms:W3CDTF">2022-06-09T13:06:13Z</dcterms:created>
  <dcterms:modified xsi:type="dcterms:W3CDTF">2022-06-09T17:57:38Z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